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reference_drive\Pricing Data\AJM Pricing Reference Data\Deloitte 2016 12 31 Price Forecast Work Area\Final\"/>
    </mc:Choice>
  </mc:AlternateContent>
  <bookViews>
    <workbookView xWindow="0" yWindow="0" windowWidth="28800" windowHeight="12225" activeTab="3"/>
  </bookViews>
  <sheets>
    <sheet name="Deloitte Summary Domestic" sheetId="1" r:id="rId1"/>
    <sheet name="Deloitte Summary Add. Crudes" sheetId="2" r:id="rId2"/>
    <sheet name="Deloitte Summary International" sheetId="3" r:id="rId3"/>
    <sheet name="Deloitte International Esc" sheetId="4" r:id="rId4"/>
  </sheets>
  <externalReferences>
    <externalReference r:id="rId5"/>
    <externalReference r:id="rId6"/>
  </externalReferences>
  <definedNames>
    <definedName name="_Key1" localSheetId="3" hidden="1">[1]Input!#REF!</definedName>
    <definedName name="_Key1" localSheetId="1" hidden="1">[1]Input!#REF!</definedName>
    <definedName name="_Key1" hidden="1">[1]Input!#REF!</definedName>
    <definedName name="_key2" localSheetId="3" hidden="1">[1]Input!#REF!</definedName>
    <definedName name="_key2" localSheetId="1" hidden="1">[1]Input!#REF!</definedName>
    <definedName name="_key2" hidden="1">[1]Input!#REF!</definedName>
    <definedName name="_Order1" hidden="1">255</definedName>
    <definedName name="EFFDATE">'[2]Front Page'!$D$4</definedName>
    <definedName name="FUTURESDATE">'[2]Current Forecast Assumptions'!$F$74</definedName>
    <definedName name="_xlnm.Print_Area" localSheetId="3">'Deloitte International Esc'!$A$1:$AB$53</definedName>
    <definedName name="PRIORDATE">'[2]Front Page'!$D$5</definedName>
  </definedNames>
  <calcPr calcId="152511" calcOnSave="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5" i="4" l="1"/>
  <c r="D43" i="4"/>
  <c r="C43" i="4"/>
  <c r="AB42" i="4"/>
  <c r="AA42" i="4"/>
  <c r="Z42" i="4"/>
  <c r="Y42" i="4"/>
  <c r="X42" i="4"/>
  <c r="W42" i="4"/>
  <c r="V42" i="4"/>
  <c r="U42" i="4"/>
  <c r="T42" i="4"/>
  <c r="S42" i="4"/>
  <c r="R42" i="4"/>
  <c r="Q42" i="4"/>
  <c r="P42" i="4"/>
  <c r="O42" i="4"/>
  <c r="N42" i="4"/>
  <c r="M42" i="4"/>
  <c r="L42" i="4"/>
  <c r="K42" i="4"/>
  <c r="J42" i="4"/>
  <c r="I42" i="4"/>
  <c r="H42" i="4"/>
  <c r="G42" i="4"/>
  <c r="F42" i="4"/>
  <c r="E42" i="4"/>
  <c r="D42" i="4"/>
  <c r="C42" i="4"/>
  <c r="AB41" i="4"/>
  <c r="AA41" i="4"/>
  <c r="Z41" i="4"/>
  <c r="Y41" i="4"/>
  <c r="X41" i="4"/>
  <c r="W41" i="4"/>
  <c r="V41" i="4"/>
  <c r="U41" i="4"/>
  <c r="T41" i="4"/>
  <c r="S41" i="4"/>
  <c r="R41" i="4"/>
  <c r="Q41" i="4"/>
  <c r="P41" i="4"/>
  <c r="O41" i="4"/>
  <c r="N41" i="4"/>
  <c r="M41" i="4"/>
  <c r="L41" i="4"/>
  <c r="K41" i="4"/>
  <c r="J41" i="4"/>
  <c r="I41" i="4"/>
  <c r="H41" i="4"/>
  <c r="G41" i="4"/>
  <c r="F41" i="4"/>
  <c r="E41" i="4"/>
  <c r="D41" i="4"/>
  <c r="C41" i="4"/>
  <c r="AB40" i="4"/>
  <c r="AA40" i="4"/>
  <c r="Z40" i="4"/>
  <c r="Y40" i="4"/>
  <c r="X40" i="4"/>
  <c r="W40" i="4"/>
  <c r="V40" i="4"/>
  <c r="U40" i="4"/>
  <c r="T40" i="4"/>
  <c r="S40" i="4"/>
  <c r="R40" i="4"/>
  <c r="Q40" i="4"/>
  <c r="P40" i="4"/>
  <c r="O40" i="4"/>
  <c r="N40" i="4"/>
  <c r="M40" i="4"/>
  <c r="L40" i="4"/>
  <c r="K40" i="4"/>
  <c r="J40" i="4"/>
  <c r="I40" i="4"/>
  <c r="H40" i="4"/>
  <c r="G40" i="4"/>
  <c r="F40" i="4"/>
  <c r="E40" i="4"/>
  <c r="D40" i="4"/>
  <c r="C40" i="4"/>
  <c r="AB39" i="4"/>
  <c r="AA39" i="4"/>
  <c r="Z39" i="4"/>
  <c r="Y39" i="4"/>
  <c r="X39" i="4"/>
  <c r="W39" i="4"/>
  <c r="V39" i="4"/>
  <c r="U39" i="4"/>
  <c r="T39" i="4"/>
  <c r="S39" i="4"/>
  <c r="R39" i="4"/>
  <c r="Q39" i="4"/>
  <c r="P39" i="4"/>
  <c r="O39" i="4"/>
  <c r="N39" i="4"/>
  <c r="M39" i="4"/>
  <c r="L39" i="4"/>
  <c r="K39" i="4"/>
  <c r="J39" i="4"/>
  <c r="I39" i="4"/>
  <c r="H39" i="4"/>
  <c r="G39" i="4"/>
  <c r="F39" i="4"/>
  <c r="E39" i="4"/>
  <c r="D39" i="4"/>
  <c r="C39" i="4"/>
  <c r="AB38" i="4"/>
  <c r="AA38" i="4"/>
  <c r="Z38" i="4"/>
  <c r="Y38" i="4"/>
  <c r="X38" i="4"/>
  <c r="W38" i="4"/>
  <c r="V38" i="4"/>
  <c r="U38" i="4"/>
  <c r="T38" i="4"/>
  <c r="S38" i="4"/>
  <c r="R38" i="4"/>
  <c r="Q38" i="4"/>
  <c r="P38" i="4"/>
  <c r="O38" i="4"/>
  <c r="N38" i="4"/>
  <c r="M38" i="4"/>
  <c r="L38" i="4"/>
  <c r="K38" i="4"/>
  <c r="J38" i="4"/>
  <c r="I38" i="4"/>
  <c r="H38" i="4"/>
  <c r="G38" i="4"/>
  <c r="F38" i="4"/>
  <c r="E38" i="4"/>
  <c r="D38" i="4"/>
  <c r="C38" i="4"/>
  <c r="AB37" i="4"/>
  <c r="AA37" i="4"/>
  <c r="Z37" i="4"/>
  <c r="Y37" i="4"/>
  <c r="X37" i="4"/>
  <c r="W37" i="4"/>
  <c r="V37" i="4"/>
  <c r="U37" i="4"/>
  <c r="T37" i="4"/>
  <c r="S37" i="4"/>
  <c r="R37" i="4"/>
  <c r="Q37" i="4"/>
  <c r="P37" i="4"/>
  <c r="O37" i="4"/>
  <c r="N37" i="4"/>
  <c r="M37" i="4"/>
  <c r="L37" i="4"/>
  <c r="K37" i="4"/>
  <c r="J37" i="4"/>
  <c r="I37" i="4"/>
  <c r="H37" i="4"/>
  <c r="G37" i="4"/>
  <c r="F37" i="4"/>
  <c r="E37" i="4"/>
  <c r="D37" i="4"/>
  <c r="C37" i="4"/>
  <c r="AB36" i="4"/>
  <c r="AA36" i="4"/>
  <c r="Z36" i="4"/>
  <c r="Y36" i="4"/>
  <c r="X36" i="4"/>
  <c r="W36" i="4"/>
  <c r="V36" i="4"/>
  <c r="U36" i="4"/>
  <c r="T36" i="4"/>
  <c r="S36" i="4"/>
  <c r="R36" i="4"/>
  <c r="Q36" i="4"/>
  <c r="P36" i="4"/>
  <c r="O36" i="4"/>
  <c r="N36" i="4"/>
  <c r="M36" i="4"/>
  <c r="L36" i="4"/>
  <c r="K36" i="4"/>
  <c r="J36" i="4"/>
  <c r="I36" i="4"/>
  <c r="H36" i="4"/>
  <c r="G36" i="4"/>
  <c r="F36" i="4"/>
  <c r="E36" i="4"/>
  <c r="D36" i="4"/>
  <c r="C36" i="4"/>
  <c r="AB35" i="4"/>
  <c r="AA35" i="4"/>
  <c r="Z35" i="4"/>
  <c r="Y35" i="4"/>
  <c r="X35" i="4"/>
  <c r="W35" i="4"/>
  <c r="V35" i="4"/>
  <c r="U35" i="4"/>
  <c r="T35" i="4"/>
  <c r="S35" i="4"/>
  <c r="R35" i="4"/>
  <c r="Q35" i="4"/>
  <c r="P35" i="4"/>
  <c r="O35" i="4"/>
  <c r="N35" i="4"/>
  <c r="M35" i="4"/>
  <c r="L35" i="4"/>
  <c r="K35" i="4"/>
  <c r="J35" i="4"/>
  <c r="I35" i="4"/>
  <c r="H35" i="4"/>
  <c r="G35" i="4"/>
  <c r="F35" i="4"/>
  <c r="E35" i="4"/>
  <c r="D35" i="4"/>
  <c r="C35" i="4"/>
  <c r="AB34" i="4"/>
  <c r="AA34" i="4"/>
  <c r="Z34" i="4"/>
  <c r="Y34" i="4"/>
  <c r="X34" i="4"/>
  <c r="W34" i="4"/>
  <c r="V34" i="4"/>
  <c r="U34" i="4"/>
  <c r="T34" i="4"/>
  <c r="S34" i="4"/>
  <c r="R34" i="4"/>
  <c r="Q34" i="4"/>
  <c r="P34" i="4"/>
  <c r="O34" i="4"/>
  <c r="N34" i="4"/>
  <c r="M34" i="4"/>
  <c r="L34" i="4"/>
  <c r="K34" i="4"/>
  <c r="J34" i="4"/>
  <c r="I34" i="4"/>
  <c r="H34" i="4"/>
  <c r="G34" i="4"/>
  <c r="F34" i="4"/>
  <c r="E34" i="4"/>
  <c r="D34" i="4"/>
  <c r="C34" i="4"/>
  <c r="AB33" i="4"/>
  <c r="AA33" i="4"/>
  <c r="Z33" i="4"/>
  <c r="Y33" i="4"/>
  <c r="X33" i="4"/>
  <c r="W33" i="4"/>
  <c r="V33" i="4"/>
  <c r="U33" i="4"/>
  <c r="T33" i="4"/>
  <c r="S33" i="4"/>
  <c r="R33" i="4"/>
  <c r="Q33" i="4"/>
  <c r="P33" i="4"/>
  <c r="O33" i="4"/>
  <c r="N33" i="4"/>
  <c r="M33" i="4"/>
  <c r="L33" i="4"/>
  <c r="K33" i="4"/>
  <c r="J33" i="4"/>
  <c r="I33" i="4"/>
  <c r="H33" i="4"/>
  <c r="G33" i="4"/>
  <c r="F33" i="4"/>
  <c r="E33" i="4"/>
  <c r="D33" i="4"/>
  <c r="C33" i="4"/>
  <c r="AB32" i="4"/>
  <c r="AA32" i="4"/>
  <c r="Z32" i="4"/>
  <c r="Y32" i="4"/>
  <c r="X32" i="4"/>
  <c r="W32" i="4"/>
  <c r="V32" i="4"/>
  <c r="U32" i="4"/>
  <c r="T32" i="4"/>
  <c r="S32" i="4"/>
  <c r="R32" i="4"/>
  <c r="Q32" i="4"/>
  <c r="P32" i="4"/>
  <c r="O32" i="4"/>
  <c r="N32" i="4"/>
  <c r="M32" i="4"/>
  <c r="L32" i="4"/>
  <c r="K32" i="4"/>
  <c r="J32" i="4"/>
  <c r="I32" i="4"/>
  <c r="H32" i="4"/>
  <c r="G32" i="4"/>
  <c r="F32" i="4"/>
  <c r="E32" i="4"/>
  <c r="D32" i="4"/>
  <c r="C32" i="4"/>
  <c r="AB31" i="4"/>
  <c r="AA31" i="4"/>
  <c r="Z31" i="4"/>
  <c r="Y31" i="4"/>
  <c r="X31" i="4"/>
  <c r="W31" i="4"/>
  <c r="V31" i="4"/>
  <c r="U31" i="4"/>
  <c r="T31" i="4"/>
  <c r="S31" i="4"/>
  <c r="R31" i="4"/>
  <c r="Q31" i="4"/>
  <c r="P31" i="4"/>
  <c r="O31" i="4"/>
  <c r="N31" i="4"/>
  <c r="M31" i="4"/>
  <c r="L31" i="4"/>
  <c r="K31" i="4"/>
  <c r="J31" i="4"/>
  <c r="I31" i="4"/>
  <c r="H31" i="4"/>
  <c r="G31" i="4"/>
  <c r="F31" i="4"/>
  <c r="E31" i="4"/>
  <c r="D31" i="4"/>
  <c r="C31" i="4"/>
  <c r="AB30" i="4"/>
  <c r="AA30" i="4"/>
  <c r="Z30" i="4"/>
  <c r="Y30" i="4"/>
  <c r="X30" i="4"/>
  <c r="W30" i="4"/>
  <c r="V30" i="4"/>
  <c r="U30" i="4"/>
  <c r="T30" i="4"/>
  <c r="S30" i="4"/>
  <c r="R30" i="4"/>
  <c r="Q30" i="4"/>
  <c r="P30" i="4"/>
  <c r="O30" i="4"/>
  <c r="N30" i="4"/>
  <c r="M30" i="4"/>
  <c r="L30" i="4"/>
  <c r="K30" i="4"/>
  <c r="J30" i="4"/>
  <c r="I30" i="4"/>
  <c r="H30" i="4"/>
  <c r="G30" i="4"/>
  <c r="F30" i="4"/>
  <c r="E30" i="4"/>
  <c r="D30" i="4"/>
  <c r="C30" i="4"/>
  <c r="AB29" i="4"/>
  <c r="AA29" i="4"/>
  <c r="Z29" i="4"/>
  <c r="Y29" i="4"/>
  <c r="X29" i="4"/>
  <c r="W29" i="4"/>
  <c r="V29" i="4"/>
  <c r="U29" i="4"/>
  <c r="T29" i="4"/>
  <c r="S29" i="4"/>
  <c r="R29" i="4"/>
  <c r="Q29" i="4"/>
  <c r="P29" i="4"/>
  <c r="O29" i="4"/>
  <c r="N29" i="4"/>
  <c r="M29" i="4"/>
  <c r="L29" i="4"/>
  <c r="K29" i="4"/>
  <c r="J29" i="4"/>
  <c r="I29" i="4"/>
  <c r="H29" i="4"/>
  <c r="G29" i="4"/>
  <c r="F29" i="4"/>
  <c r="E29" i="4"/>
  <c r="D29" i="4"/>
  <c r="C29" i="4"/>
  <c r="AB28" i="4"/>
  <c r="AA28" i="4"/>
  <c r="Z28" i="4"/>
  <c r="Y28" i="4"/>
  <c r="X28" i="4"/>
  <c r="W28" i="4"/>
  <c r="V28" i="4"/>
  <c r="U28" i="4"/>
  <c r="T28" i="4"/>
  <c r="S28" i="4"/>
  <c r="R28" i="4"/>
  <c r="Q28" i="4"/>
  <c r="P28" i="4"/>
  <c r="O28" i="4"/>
  <c r="N28" i="4"/>
  <c r="M28" i="4"/>
  <c r="L28" i="4"/>
  <c r="K28" i="4"/>
  <c r="J28" i="4"/>
  <c r="I28" i="4"/>
  <c r="H28" i="4"/>
  <c r="G28" i="4"/>
  <c r="F28" i="4"/>
  <c r="E28" i="4"/>
  <c r="D28" i="4"/>
  <c r="C28" i="4"/>
  <c r="AB27" i="4"/>
  <c r="AA27" i="4"/>
  <c r="Z27" i="4"/>
  <c r="Y27" i="4"/>
  <c r="X27" i="4"/>
  <c r="W27" i="4"/>
  <c r="V27" i="4"/>
  <c r="U27" i="4"/>
  <c r="T27" i="4"/>
  <c r="S27" i="4"/>
  <c r="R27" i="4"/>
  <c r="Q27" i="4"/>
  <c r="P27" i="4"/>
  <c r="O27" i="4"/>
  <c r="N27" i="4"/>
  <c r="M27" i="4"/>
  <c r="L27" i="4"/>
  <c r="K27" i="4"/>
  <c r="J27" i="4"/>
  <c r="I27" i="4"/>
  <c r="H27" i="4"/>
  <c r="G27" i="4"/>
  <c r="F27" i="4"/>
  <c r="E27" i="4"/>
  <c r="D27" i="4"/>
  <c r="C27" i="4"/>
  <c r="AB26" i="4"/>
  <c r="AA26" i="4"/>
  <c r="Z26" i="4"/>
  <c r="Y26" i="4"/>
  <c r="X26" i="4"/>
  <c r="W26" i="4"/>
  <c r="V26" i="4"/>
  <c r="U26" i="4"/>
  <c r="T26" i="4"/>
  <c r="S26" i="4"/>
  <c r="R26" i="4"/>
  <c r="Q26" i="4"/>
  <c r="P26" i="4"/>
  <c r="O26" i="4"/>
  <c r="N26" i="4"/>
  <c r="M26" i="4"/>
  <c r="L26" i="4"/>
  <c r="K26" i="4"/>
  <c r="J26" i="4"/>
  <c r="I26" i="4"/>
  <c r="H26" i="4"/>
  <c r="G26" i="4"/>
  <c r="F26" i="4"/>
  <c r="E26" i="4"/>
  <c r="D26" i="4"/>
  <c r="C26" i="4"/>
  <c r="AB25" i="4"/>
  <c r="AA25" i="4"/>
  <c r="Z25" i="4"/>
  <c r="Y25" i="4"/>
  <c r="X25" i="4"/>
  <c r="W25" i="4"/>
  <c r="V25" i="4"/>
  <c r="U25" i="4"/>
  <c r="T25" i="4"/>
  <c r="S25" i="4"/>
  <c r="R25" i="4"/>
  <c r="Q25" i="4"/>
  <c r="P25" i="4"/>
  <c r="O25" i="4"/>
  <c r="N25" i="4"/>
  <c r="M25" i="4"/>
  <c r="L25" i="4"/>
  <c r="K25" i="4"/>
  <c r="J25" i="4"/>
  <c r="I25" i="4"/>
  <c r="H25" i="4"/>
  <c r="G25" i="4"/>
  <c r="F25" i="4"/>
  <c r="E25" i="4"/>
  <c r="D25" i="4"/>
  <c r="C25" i="4"/>
  <c r="AB24" i="4"/>
  <c r="AA24" i="4"/>
  <c r="Z24" i="4"/>
  <c r="Y24" i="4"/>
  <c r="X24" i="4"/>
  <c r="W24" i="4"/>
  <c r="V24" i="4"/>
  <c r="U24" i="4"/>
  <c r="T24" i="4"/>
  <c r="S24" i="4"/>
  <c r="R24" i="4"/>
  <c r="Q24" i="4"/>
  <c r="P24" i="4"/>
  <c r="O24" i="4"/>
  <c r="N24" i="4"/>
  <c r="M24" i="4"/>
  <c r="L24" i="4"/>
  <c r="K24" i="4"/>
  <c r="J24" i="4"/>
  <c r="I24" i="4"/>
  <c r="H24" i="4"/>
  <c r="G24" i="4"/>
  <c r="F24" i="4"/>
  <c r="E24" i="4"/>
  <c r="D24" i="4"/>
  <c r="C24" i="4"/>
  <c r="AB23" i="4"/>
  <c r="AA23" i="4"/>
  <c r="Z23" i="4"/>
  <c r="Y23" i="4"/>
  <c r="X23" i="4"/>
  <c r="W23" i="4"/>
  <c r="V23" i="4"/>
  <c r="U23" i="4"/>
  <c r="T23" i="4"/>
  <c r="S23" i="4"/>
  <c r="R23" i="4"/>
  <c r="Q23" i="4"/>
  <c r="P23" i="4"/>
  <c r="O23" i="4"/>
  <c r="N23" i="4"/>
  <c r="M23" i="4"/>
  <c r="L23" i="4"/>
  <c r="K23" i="4"/>
  <c r="J23" i="4"/>
  <c r="I23" i="4"/>
  <c r="H23" i="4"/>
  <c r="G23" i="4"/>
  <c r="F23" i="4"/>
  <c r="E23" i="4"/>
  <c r="D23" i="4"/>
  <c r="C23" i="4"/>
  <c r="B23" i="4"/>
  <c r="B24" i="4" s="1"/>
  <c r="B25" i="4" s="1"/>
  <c r="B26" i="4" s="1"/>
  <c r="B27" i="4" s="1"/>
  <c r="B28" i="4" s="1"/>
  <c r="B29" i="4" s="1"/>
  <c r="B30" i="4" s="1"/>
  <c r="B31" i="4" s="1"/>
  <c r="B32" i="4" s="1"/>
  <c r="B33" i="4" s="1"/>
  <c r="B34" i="4" s="1"/>
  <c r="B35" i="4" s="1"/>
  <c r="B36" i="4" s="1"/>
  <c r="B37" i="4" s="1"/>
  <c r="B38" i="4" s="1"/>
  <c r="B39" i="4" s="1"/>
  <c r="B40" i="4" s="1"/>
  <c r="B41" i="4" s="1"/>
  <c r="B42" i="4" s="1"/>
  <c r="B43" i="4" s="1"/>
  <c r="B13" i="4"/>
  <c r="AA13" i="4" s="1"/>
  <c r="A3" i="4"/>
  <c r="C64" i="3"/>
  <c r="D62" i="3"/>
  <c r="C62" i="3"/>
  <c r="M61" i="3"/>
  <c r="L61" i="3"/>
  <c r="K61" i="3"/>
  <c r="J61" i="3"/>
  <c r="I61" i="3"/>
  <c r="H61" i="3"/>
  <c r="G61" i="3"/>
  <c r="F61" i="3"/>
  <c r="E61" i="3"/>
  <c r="D61" i="3"/>
  <c r="C61" i="3"/>
  <c r="M60" i="3"/>
  <c r="L60" i="3"/>
  <c r="K60" i="3"/>
  <c r="J60" i="3"/>
  <c r="I60" i="3"/>
  <c r="H60" i="3"/>
  <c r="G60" i="3"/>
  <c r="F60" i="3"/>
  <c r="E60" i="3"/>
  <c r="D60" i="3"/>
  <c r="C60" i="3"/>
  <c r="M59" i="3"/>
  <c r="L59" i="3"/>
  <c r="K59" i="3"/>
  <c r="J59" i="3"/>
  <c r="I59" i="3"/>
  <c r="H59" i="3"/>
  <c r="G59" i="3"/>
  <c r="F59" i="3"/>
  <c r="E59" i="3"/>
  <c r="D59" i="3"/>
  <c r="C59" i="3"/>
  <c r="M58" i="3"/>
  <c r="L58" i="3"/>
  <c r="K58" i="3"/>
  <c r="J58" i="3"/>
  <c r="I58" i="3"/>
  <c r="H58" i="3"/>
  <c r="G58" i="3"/>
  <c r="F58" i="3"/>
  <c r="E58" i="3"/>
  <c r="D58" i="3"/>
  <c r="C58" i="3"/>
  <c r="M57" i="3"/>
  <c r="L57" i="3"/>
  <c r="K57" i="3"/>
  <c r="J57" i="3"/>
  <c r="I57" i="3"/>
  <c r="H57" i="3"/>
  <c r="G57" i="3"/>
  <c r="F57" i="3"/>
  <c r="E57" i="3"/>
  <c r="D57" i="3"/>
  <c r="C57" i="3"/>
  <c r="M56" i="3"/>
  <c r="L56" i="3"/>
  <c r="K56" i="3"/>
  <c r="J56" i="3"/>
  <c r="I56" i="3"/>
  <c r="H56" i="3"/>
  <c r="G56" i="3"/>
  <c r="F56" i="3"/>
  <c r="E56" i="3"/>
  <c r="D56" i="3"/>
  <c r="C56" i="3"/>
  <c r="M55" i="3"/>
  <c r="L55" i="3"/>
  <c r="K55" i="3"/>
  <c r="J55" i="3"/>
  <c r="I55" i="3"/>
  <c r="H55" i="3"/>
  <c r="G55" i="3"/>
  <c r="F55" i="3"/>
  <c r="E55" i="3"/>
  <c r="D55" i="3"/>
  <c r="C55" i="3"/>
  <c r="M54" i="3"/>
  <c r="L54" i="3"/>
  <c r="K54" i="3"/>
  <c r="J54" i="3"/>
  <c r="I54" i="3"/>
  <c r="H54" i="3"/>
  <c r="G54" i="3"/>
  <c r="F54" i="3"/>
  <c r="E54" i="3"/>
  <c r="D54" i="3"/>
  <c r="C54" i="3"/>
  <c r="M53" i="3"/>
  <c r="L53" i="3"/>
  <c r="K53" i="3"/>
  <c r="J53" i="3"/>
  <c r="I53" i="3"/>
  <c r="H53" i="3"/>
  <c r="G53" i="3"/>
  <c r="F53" i="3"/>
  <c r="E53" i="3"/>
  <c r="D53" i="3"/>
  <c r="C53" i="3"/>
  <c r="M52" i="3"/>
  <c r="L52" i="3"/>
  <c r="K52" i="3"/>
  <c r="J52" i="3"/>
  <c r="I52" i="3"/>
  <c r="H52" i="3"/>
  <c r="G52" i="3"/>
  <c r="F52" i="3"/>
  <c r="E52" i="3"/>
  <c r="D52" i="3"/>
  <c r="C52" i="3"/>
  <c r="M51" i="3"/>
  <c r="L51" i="3"/>
  <c r="K51" i="3"/>
  <c r="J51" i="3"/>
  <c r="I51" i="3"/>
  <c r="H51" i="3"/>
  <c r="G51" i="3"/>
  <c r="F51" i="3"/>
  <c r="E51" i="3"/>
  <c r="D51" i="3"/>
  <c r="C51" i="3"/>
  <c r="M50" i="3"/>
  <c r="L50" i="3"/>
  <c r="K50" i="3"/>
  <c r="J50" i="3"/>
  <c r="I50" i="3"/>
  <c r="H50" i="3"/>
  <c r="G50" i="3"/>
  <c r="F50" i="3"/>
  <c r="E50" i="3"/>
  <c r="D50" i="3"/>
  <c r="C50" i="3"/>
  <c r="M49" i="3"/>
  <c r="L49" i="3"/>
  <c r="K49" i="3"/>
  <c r="J49" i="3"/>
  <c r="I49" i="3"/>
  <c r="H49" i="3"/>
  <c r="G49" i="3"/>
  <c r="F49" i="3"/>
  <c r="E49" i="3"/>
  <c r="D49" i="3"/>
  <c r="C49" i="3"/>
  <c r="M48" i="3"/>
  <c r="L48" i="3"/>
  <c r="K48" i="3"/>
  <c r="J48" i="3"/>
  <c r="I48" i="3"/>
  <c r="H48" i="3"/>
  <c r="G48" i="3"/>
  <c r="F48" i="3"/>
  <c r="E48" i="3"/>
  <c r="D48" i="3"/>
  <c r="C48" i="3"/>
  <c r="M47" i="3"/>
  <c r="L47" i="3"/>
  <c r="K47" i="3"/>
  <c r="J47" i="3"/>
  <c r="I47" i="3"/>
  <c r="H47" i="3"/>
  <c r="G47" i="3"/>
  <c r="F47" i="3"/>
  <c r="E47" i="3"/>
  <c r="D47" i="3"/>
  <c r="C47" i="3"/>
  <c r="M46" i="3"/>
  <c r="L46" i="3"/>
  <c r="K46" i="3"/>
  <c r="J46" i="3"/>
  <c r="I46" i="3"/>
  <c r="H46" i="3"/>
  <c r="G46" i="3"/>
  <c r="F46" i="3"/>
  <c r="E46" i="3"/>
  <c r="D46" i="3"/>
  <c r="C46" i="3"/>
  <c r="M45" i="3"/>
  <c r="L45" i="3"/>
  <c r="K45" i="3"/>
  <c r="J45" i="3"/>
  <c r="I45" i="3"/>
  <c r="H45" i="3"/>
  <c r="G45" i="3"/>
  <c r="F45" i="3"/>
  <c r="E45" i="3"/>
  <c r="D45" i="3"/>
  <c r="C45" i="3"/>
  <c r="M44" i="3"/>
  <c r="L44" i="3"/>
  <c r="K44" i="3"/>
  <c r="J44" i="3"/>
  <c r="I44" i="3"/>
  <c r="H44" i="3"/>
  <c r="G44" i="3"/>
  <c r="F44" i="3"/>
  <c r="E44" i="3"/>
  <c r="D44" i="3"/>
  <c r="C44" i="3"/>
  <c r="M43" i="3"/>
  <c r="L43" i="3"/>
  <c r="K43" i="3"/>
  <c r="J43" i="3"/>
  <c r="I43" i="3"/>
  <c r="H43" i="3"/>
  <c r="G43" i="3"/>
  <c r="F43" i="3"/>
  <c r="E43" i="3"/>
  <c r="D43" i="3"/>
  <c r="C43" i="3"/>
  <c r="M42" i="3"/>
  <c r="L42" i="3"/>
  <c r="K42" i="3"/>
  <c r="J42" i="3"/>
  <c r="I42" i="3"/>
  <c r="H42" i="3"/>
  <c r="G42" i="3"/>
  <c r="F42" i="3"/>
  <c r="E42" i="3"/>
  <c r="D42" i="3"/>
  <c r="C42" i="3"/>
  <c r="B42" i="3"/>
  <c r="B43" i="3" s="1"/>
  <c r="B44" i="3" s="1"/>
  <c r="B45" i="3" s="1"/>
  <c r="B46" i="3" s="1"/>
  <c r="B47" i="3" s="1"/>
  <c r="B48" i="3" s="1"/>
  <c r="B49" i="3" s="1"/>
  <c r="B50" i="3" s="1"/>
  <c r="B51" i="3" s="1"/>
  <c r="B52" i="3" s="1"/>
  <c r="B53" i="3" s="1"/>
  <c r="B54" i="3" s="1"/>
  <c r="B55" i="3" s="1"/>
  <c r="B56" i="3" s="1"/>
  <c r="B57" i="3" s="1"/>
  <c r="B58" i="3" s="1"/>
  <c r="B59" i="3" s="1"/>
  <c r="B60" i="3" s="1"/>
  <c r="B61" i="3" s="1"/>
  <c r="B62" i="3" s="1"/>
  <c r="R32" i="3"/>
  <c r="Q32" i="3"/>
  <c r="P32" i="3"/>
  <c r="O32" i="3"/>
  <c r="N32" i="3"/>
  <c r="M32" i="3"/>
  <c r="L32" i="3"/>
  <c r="K32" i="3"/>
  <c r="J32" i="3"/>
  <c r="I32" i="3"/>
  <c r="H32" i="3"/>
  <c r="G32" i="3"/>
  <c r="F32" i="3"/>
  <c r="E32" i="3"/>
  <c r="D32" i="3"/>
  <c r="C32" i="3"/>
  <c r="R31" i="3"/>
  <c r="Q31" i="3"/>
  <c r="P31" i="3"/>
  <c r="O31" i="3"/>
  <c r="N31" i="3"/>
  <c r="M31" i="3"/>
  <c r="L31" i="3"/>
  <c r="K31" i="3"/>
  <c r="J31" i="3"/>
  <c r="I31" i="3"/>
  <c r="H31" i="3"/>
  <c r="G31" i="3"/>
  <c r="F31" i="3"/>
  <c r="E31" i="3"/>
  <c r="D31" i="3"/>
  <c r="C31" i="3"/>
  <c r="R30" i="3"/>
  <c r="Q30" i="3"/>
  <c r="P30" i="3"/>
  <c r="O30" i="3"/>
  <c r="N30" i="3"/>
  <c r="M30" i="3"/>
  <c r="L30" i="3"/>
  <c r="K30" i="3"/>
  <c r="J30" i="3"/>
  <c r="I30" i="3"/>
  <c r="H30" i="3"/>
  <c r="G30" i="3"/>
  <c r="F30" i="3"/>
  <c r="E30" i="3"/>
  <c r="D30" i="3"/>
  <c r="C30" i="3"/>
  <c r="R29" i="3"/>
  <c r="Q29" i="3"/>
  <c r="P29" i="3"/>
  <c r="O29" i="3"/>
  <c r="N29" i="3"/>
  <c r="M29" i="3"/>
  <c r="L29" i="3"/>
  <c r="K29" i="3"/>
  <c r="J29" i="3"/>
  <c r="I29" i="3"/>
  <c r="H29" i="3"/>
  <c r="G29" i="3"/>
  <c r="F29" i="3"/>
  <c r="E29" i="3"/>
  <c r="D29" i="3"/>
  <c r="C29" i="3"/>
  <c r="R28" i="3"/>
  <c r="Q28" i="3"/>
  <c r="P28" i="3"/>
  <c r="O28" i="3"/>
  <c r="N28" i="3"/>
  <c r="M28" i="3"/>
  <c r="L28" i="3"/>
  <c r="K28" i="3"/>
  <c r="J28" i="3"/>
  <c r="I28" i="3"/>
  <c r="H28" i="3"/>
  <c r="G28" i="3"/>
  <c r="F28" i="3"/>
  <c r="E28" i="3"/>
  <c r="D28" i="3"/>
  <c r="C28" i="3"/>
  <c r="R27" i="3"/>
  <c r="Q27" i="3"/>
  <c r="P27" i="3"/>
  <c r="O27" i="3"/>
  <c r="N27" i="3"/>
  <c r="M27" i="3"/>
  <c r="L27" i="3"/>
  <c r="K27" i="3"/>
  <c r="J27" i="3"/>
  <c r="I27" i="3"/>
  <c r="H27" i="3"/>
  <c r="G27" i="3"/>
  <c r="F27" i="3"/>
  <c r="E27" i="3"/>
  <c r="D27" i="3"/>
  <c r="C27" i="3"/>
  <c r="R26" i="3"/>
  <c r="Q26" i="3"/>
  <c r="P26" i="3"/>
  <c r="O26" i="3"/>
  <c r="N26" i="3"/>
  <c r="M26" i="3"/>
  <c r="L26" i="3"/>
  <c r="K26" i="3"/>
  <c r="J26" i="3"/>
  <c r="I26" i="3"/>
  <c r="H26" i="3"/>
  <c r="G26" i="3"/>
  <c r="F26" i="3"/>
  <c r="E26" i="3"/>
  <c r="D26" i="3"/>
  <c r="C26" i="3"/>
  <c r="R25" i="3"/>
  <c r="Q25" i="3"/>
  <c r="P25" i="3"/>
  <c r="O25" i="3"/>
  <c r="N25" i="3"/>
  <c r="M25" i="3"/>
  <c r="L25" i="3"/>
  <c r="K25" i="3"/>
  <c r="J25" i="3"/>
  <c r="I25" i="3"/>
  <c r="H25" i="3"/>
  <c r="G25" i="3"/>
  <c r="F25" i="3"/>
  <c r="E25" i="3"/>
  <c r="D25" i="3"/>
  <c r="C25" i="3"/>
  <c r="R24" i="3"/>
  <c r="Q24" i="3"/>
  <c r="P24" i="3"/>
  <c r="O24" i="3"/>
  <c r="N24" i="3"/>
  <c r="M24" i="3"/>
  <c r="L24" i="3"/>
  <c r="K24" i="3"/>
  <c r="J24" i="3"/>
  <c r="I24" i="3"/>
  <c r="H24" i="3"/>
  <c r="G24" i="3"/>
  <c r="F24" i="3"/>
  <c r="E24" i="3"/>
  <c r="D24" i="3"/>
  <c r="C24" i="3"/>
  <c r="R23" i="3"/>
  <c r="Q23" i="3"/>
  <c r="P23" i="3"/>
  <c r="O23" i="3"/>
  <c r="N23" i="3"/>
  <c r="M23" i="3"/>
  <c r="L23" i="3"/>
  <c r="K23" i="3"/>
  <c r="J23" i="3"/>
  <c r="I23" i="3"/>
  <c r="H23" i="3"/>
  <c r="G23" i="3"/>
  <c r="F23" i="3"/>
  <c r="E23" i="3"/>
  <c r="D23" i="3"/>
  <c r="C23" i="3"/>
  <c r="R22" i="3"/>
  <c r="Q22" i="3"/>
  <c r="P22" i="3"/>
  <c r="O22" i="3"/>
  <c r="N22" i="3"/>
  <c r="M22" i="3"/>
  <c r="L22" i="3"/>
  <c r="K22" i="3"/>
  <c r="J22" i="3"/>
  <c r="I22" i="3"/>
  <c r="H22" i="3"/>
  <c r="G22" i="3"/>
  <c r="F22" i="3"/>
  <c r="E22" i="3"/>
  <c r="D22" i="3"/>
  <c r="C22" i="3"/>
  <c r="R21" i="3"/>
  <c r="Q21" i="3"/>
  <c r="P21" i="3"/>
  <c r="O21" i="3"/>
  <c r="N21" i="3"/>
  <c r="M21" i="3"/>
  <c r="L21" i="3"/>
  <c r="K21" i="3"/>
  <c r="J21" i="3"/>
  <c r="I21" i="3"/>
  <c r="H21" i="3"/>
  <c r="G21" i="3"/>
  <c r="F21" i="3"/>
  <c r="E21" i="3"/>
  <c r="D21" i="3"/>
  <c r="C21" i="3"/>
  <c r="R20" i="3"/>
  <c r="Q20" i="3"/>
  <c r="P20" i="3"/>
  <c r="O20" i="3"/>
  <c r="N20" i="3"/>
  <c r="M20" i="3"/>
  <c r="L20" i="3"/>
  <c r="K20" i="3"/>
  <c r="J20" i="3"/>
  <c r="I20" i="3"/>
  <c r="H20" i="3"/>
  <c r="G20" i="3"/>
  <c r="F20" i="3"/>
  <c r="E20" i="3"/>
  <c r="D20" i="3"/>
  <c r="C20" i="3"/>
  <c r="R19" i="3"/>
  <c r="Q19" i="3"/>
  <c r="P19" i="3"/>
  <c r="O19" i="3"/>
  <c r="N19" i="3"/>
  <c r="M19" i="3"/>
  <c r="L19" i="3"/>
  <c r="K19" i="3"/>
  <c r="J19" i="3"/>
  <c r="I19" i="3"/>
  <c r="H19" i="3"/>
  <c r="G19" i="3"/>
  <c r="F19" i="3"/>
  <c r="E19" i="3"/>
  <c r="D19" i="3"/>
  <c r="C19" i="3"/>
  <c r="R18" i="3"/>
  <c r="Q18" i="3"/>
  <c r="P18" i="3"/>
  <c r="O18" i="3"/>
  <c r="N18" i="3"/>
  <c r="M18" i="3"/>
  <c r="L18" i="3"/>
  <c r="K18" i="3"/>
  <c r="J18" i="3"/>
  <c r="I18" i="3"/>
  <c r="H18" i="3"/>
  <c r="G18" i="3"/>
  <c r="F18" i="3"/>
  <c r="E18" i="3"/>
  <c r="D18" i="3"/>
  <c r="C18" i="3"/>
  <c r="R17" i="3"/>
  <c r="Q17" i="3"/>
  <c r="P17" i="3"/>
  <c r="O17" i="3"/>
  <c r="N17" i="3"/>
  <c r="M17" i="3"/>
  <c r="L17" i="3"/>
  <c r="K17" i="3"/>
  <c r="J17" i="3"/>
  <c r="I17" i="3"/>
  <c r="H17" i="3"/>
  <c r="G17" i="3"/>
  <c r="F17" i="3"/>
  <c r="E17" i="3"/>
  <c r="D17" i="3"/>
  <c r="C17" i="3"/>
  <c r="R16" i="3"/>
  <c r="Q16" i="3"/>
  <c r="P16" i="3"/>
  <c r="O16" i="3"/>
  <c r="N16" i="3"/>
  <c r="M16" i="3"/>
  <c r="L16" i="3"/>
  <c r="K16" i="3"/>
  <c r="J16" i="3"/>
  <c r="I16" i="3"/>
  <c r="H16" i="3"/>
  <c r="G16" i="3"/>
  <c r="F16" i="3"/>
  <c r="E16" i="3"/>
  <c r="D16" i="3"/>
  <c r="C16" i="3"/>
  <c r="R15" i="3"/>
  <c r="Q15" i="3"/>
  <c r="P15" i="3"/>
  <c r="O15" i="3"/>
  <c r="N15" i="3"/>
  <c r="M15" i="3"/>
  <c r="L15" i="3"/>
  <c r="K15" i="3"/>
  <c r="J15" i="3"/>
  <c r="I15" i="3"/>
  <c r="H15" i="3"/>
  <c r="G15" i="3"/>
  <c r="F15" i="3"/>
  <c r="E15" i="3"/>
  <c r="D15" i="3"/>
  <c r="C15" i="3"/>
  <c r="R14" i="3"/>
  <c r="Q14" i="3"/>
  <c r="P14" i="3"/>
  <c r="O14" i="3"/>
  <c r="N14" i="3"/>
  <c r="M14" i="3"/>
  <c r="L14" i="3"/>
  <c r="K14" i="3"/>
  <c r="J14" i="3"/>
  <c r="I14" i="3"/>
  <c r="H14" i="3"/>
  <c r="G14" i="3"/>
  <c r="F14" i="3"/>
  <c r="E14" i="3"/>
  <c r="D14" i="3"/>
  <c r="C14" i="3"/>
  <c r="R13" i="3"/>
  <c r="Q13" i="3"/>
  <c r="P13" i="3"/>
  <c r="O13" i="3"/>
  <c r="N13" i="3"/>
  <c r="M13" i="3"/>
  <c r="L13" i="3"/>
  <c r="K13" i="3"/>
  <c r="J13" i="3"/>
  <c r="I13" i="3"/>
  <c r="H13" i="3"/>
  <c r="G13" i="3"/>
  <c r="F13" i="3"/>
  <c r="E13" i="3"/>
  <c r="D13" i="3"/>
  <c r="C13" i="3"/>
  <c r="B13" i="3"/>
  <c r="B14" i="3" s="1"/>
  <c r="B15" i="3" s="1"/>
  <c r="B16" i="3" s="1"/>
  <c r="B17" i="3" s="1"/>
  <c r="B18" i="3" s="1"/>
  <c r="B19" i="3" s="1"/>
  <c r="B20" i="3" s="1"/>
  <c r="B21" i="3" s="1"/>
  <c r="B22" i="3" s="1"/>
  <c r="B23" i="3" s="1"/>
  <c r="B24" i="3" s="1"/>
  <c r="B25" i="3" s="1"/>
  <c r="B26" i="3" s="1"/>
  <c r="B27" i="3" s="1"/>
  <c r="B28" i="3" s="1"/>
  <c r="B29" i="3" s="1"/>
  <c r="B30" i="3" s="1"/>
  <c r="B31" i="3" s="1"/>
  <c r="B32" i="3" s="1"/>
  <c r="B33" i="3" s="1"/>
  <c r="A3" i="3"/>
  <c r="C54" i="2"/>
  <c r="C53" i="2"/>
  <c r="C52" i="2"/>
  <c r="C51" i="2"/>
  <c r="C50" i="2"/>
  <c r="C49" i="2"/>
  <c r="E47" i="2"/>
  <c r="D47" i="2"/>
  <c r="C47" i="2"/>
  <c r="Q46" i="2"/>
  <c r="P46" i="2"/>
  <c r="O46" i="2"/>
  <c r="N46" i="2"/>
  <c r="M46" i="2"/>
  <c r="L46" i="2"/>
  <c r="K46" i="2"/>
  <c r="J46" i="2"/>
  <c r="I46" i="2"/>
  <c r="H46" i="2"/>
  <c r="G46" i="2"/>
  <c r="F46" i="2"/>
  <c r="E46" i="2"/>
  <c r="D46" i="2"/>
  <c r="C46" i="2"/>
  <c r="Q45" i="2"/>
  <c r="P45" i="2"/>
  <c r="O45" i="2"/>
  <c r="N45" i="2"/>
  <c r="M45" i="2"/>
  <c r="L45" i="2"/>
  <c r="K45" i="2"/>
  <c r="J45" i="2"/>
  <c r="I45" i="2"/>
  <c r="H45" i="2"/>
  <c r="G45" i="2"/>
  <c r="F45" i="2"/>
  <c r="E45" i="2"/>
  <c r="D45" i="2"/>
  <c r="C45" i="2"/>
  <c r="Q44" i="2"/>
  <c r="P44" i="2"/>
  <c r="O44" i="2"/>
  <c r="N44" i="2"/>
  <c r="M44" i="2"/>
  <c r="L44" i="2"/>
  <c r="K44" i="2"/>
  <c r="J44" i="2"/>
  <c r="I44" i="2"/>
  <c r="H44" i="2"/>
  <c r="G44" i="2"/>
  <c r="F44" i="2"/>
  <c r="E44" i="2"/>
  <c r="D44" i="2"/>
  <c r="C44" i="2"/>
  <c r="Q43" i="2"/>
  <c r="P43" i="2"/>
  <c r="O43" i="2"/>
  <c r="N43" i="2"/>
  <c r="M43" i="2"/>
  <c r="L43" i="2"/>
  <c r="K43" i="2"/>
  <c r="J43" i="2"/>
  <c r="I43" i="2"/>
  <c r="H43" i="2"/>
  <c r="G43" i="2"/>
  <c r="F43" i="2"/>
  <c r="E43" i="2"/>
  <c r="D43" i="2"/>
  <c r="C43" i="2"/>
  <c r="Q42" i="2"/>
  <c r="P42" i="2"/>
  <c r="O42" i="2"/>
  <c r="N42" i="2"/>
  <c r="M42" i="2"/>
  <c r="L42" i="2"/>
  <c r="K42" i="2"/>
  <c r="J42" i="2"/>
  <c r="I42" i="2"/>
  <c r="H42" i="2"/>
  <c r="G42" i="2"/>
  <c r="F42" i="2"/>
  <c r="E42" i="2"/>
  <c r="D42" i="2"/>
  <c r="C42" i="2"/>
  <c r="Q41" i="2"/>
  <c r="P41" i="2"/>
  <c r="O41" i="2"/>
  <c r="N41" i="2"/>
  <c r="M41" i="2"/>
  <c r="L41" i="2"/>
  <c r="K41" i="2"/>
  <c r="J41" i="2"/>
  <c r="I41" i="2"/>
  <c r="H41" i="2"/>
  <c r="G41" i="2"/>
  <c r="F41" i="2"/>
  <c r="E41" i="2"/>
  <c r="D41" i="2"/>
  <c r="C41" i="2"/>
  <c r="Q40" i="2"/>
  <c r="P40" i="2"/>
  <c r="O40" i="2"/>
  <c r="N40" i="2"/>
  <c r="M40" i="2"/>
  <c r="L40" i="2"/>
  <c r="K40" i="2"/>
  <c r="J40" i="2"/>
  <c r="I40" i="2"/>
  <c r="H40" i="2"/>
  <c r="G40" i="2"/>
  <c r="F40" i="2"/>
  <c r="E40" i="2"/>
  <c r="D40" i="2"/>
  <c r="C40" i="2"/>
  <c r="Q39" i="2"/>
  <c r="P39" i="2"/>
  <c r="O39" i="2"/>
  <c r="N39" i="2"/>
  <c r="M39" i="2"/>
  <c r="L39" i="2"/>
  <c r="K39" i="2"/>
  <c r="J39" i="2"/>
  <c r="I39" i="2"/>
  <c r="H39" i="2"/>
  <c r="G39" i="2"/>
  <c r="F39" i="2"/>
  <c r="E39" i="2"/>
  <c r="D39" i="2"/>
  <c r="C39" i="2"/>
  <c r="Q38" i="2"/>
  <c r="P38" i="2"/>
  <c r="O38" i="2"/>
  <c r="N38" i="2"/>
  <c r="M38" i="2"/>
  <c r="L38" i="2"/>
  <c r="K38" i="2"/>
  <c r="J38" i="2"/>
  <c r="I38" i="2"/>
  <c r="H38" i="2"/>
  <c r="G38" i="2"/>
  <c r="F38" i="2"/>
  <c r="E38" i="2"/>
  <c r="D38" i="2"/>
  <c r="C38" i="2"/>
  <c r="Q37" i="2"/>
  <c r="P37" i="2"/>
  <c r="O37" i="2"/>
  <c r="N37" i="2"/>
  <c r="M37" i="2"/>
  <c r="L37" i="2"/>
  <c r="K37" i="2"/>
  <c r="J37" i="2"/>
  <c r="I37" i="2"/>
  <c r="H37" i="2"/>
  <c r="G37" i="2"/>
  <c r="F37" i="2"/>
  <c r="E37" i="2"/>
  <c r="D37" i="2"/>
  <c r="C37" i="2"/>
  <c r="Q36" i="2"/>
  <c r="P36" i="2"/>
  <c r="O36" i="2"/>
  <c r="N36" i="2"/>
  <c r="M36" i="2"/>
  <c r="L36" i="2"/>
  <c r="K36" i="2"/>
  <c r="J36" i="2"/>
  <c r="I36" i="2"/>
  <c r="H36" i="2"/>
  <c r="G36" i="2"/>
  <c r="F36" i="2"/>
  <c r="E36" i="2"/>
  <c r="D36" i="2"/>
  <c r="C36" i="2"/>
  <c r="Q35" i="2"/>
  <c r="P35" i="2"/>
  <c r="O35" i="2"/>
  <c r="N35" i="2"/>
  <c r="M35" i="2"/>
  <c r="L35" i="2"/>
  <c r="K35" i="2"/>
  <c r="J35" i="2"/>
  <c r="I35" i="2"/>
  <c r="H35" i="2"/>
  <c r="G35" i="2"/>
  <c r="F35" i="2"/>
  <c r="E35" i="2"/>
  <c r="D35" i="2"/>
  <c r="C35" i="2"/>
  <c r="Q34" i="2"/>
  <c r="P34" i="2"/>
  <c r="O34" i="2"/>
  <c r="N34" i="2"/>
  <c r="M34" i="2"/>
  <c r="L34" i="2"/>
  <c r="K34" i="2"/>
  <c r="J34" i="2"/>
  <c r="I34" i="2"/>
  <c r="H34" i="2"/>
  <c r="G34" i="2"/>
  <c r="F34" i="2"/>
  <c r="E34" i="2"/>
  <c r="D34" i="2"/>
  <c r="C34" i="2"/>
  <c r="Q33" i="2"/>
  <c r="P33" i="2"/>
  <c r="O33" i="2"/>
  <c r="N33" i="2"/>
  <c r="M33" i="2"/>
  <c r="L33" i="2"/>
  <c r="K33" i="2"/>
  <c r="J33" i="2"/>
  <c r="I33" i="2"/>
  <c r="H33" i="2"/>
  <c r="G33" i="2"/>
  <c r="F33" i="2"/>
  <c r="E33" i="2"/>
  <c r="D33" i="2"/>
  <c r="C33" i="2"/>
  <c r="Q32" i="2"/>
  <c r="P32" i="2"/>
  <c r="O32" i="2"/>
  <c r="N32" i="2"/>
  <c r="M32" i="2"/>
  <c r="L32" i="2"/>
  <c r="K32" i="2"/>
  <c r="J32" i="2"/>
  <c r="I32" i="2"/>
  <c r="H32" i="2"/>
  <c r="G32" i="2"/>
  <c r="F32" i="2"/>
  <c r="E32" i="2"/>
  <c r="D32" i="2"/>
  <c r="C32" i="2"/>
  <c r="Q31" i="2"/>
  <c r="P31" i="2"/>
  <c r="O31" i="2"/>
  <c r="N31" i="2"/>
  <c r="M31" i="2"/>
  <c r="L31" i="2"/>
  <c r="K31" i="2"/>
  <c r="J31" i="2"/>
  <c r="I31" i="2"/>
  <c r="H31" i="2"/>
  <c r="G31" i="2"/>
  <c r="F31" i="2"/>
  <c r="E31" i="2"/>
  <c r="D31" i="2"/>
  <c r="C31" i="2"/>
  <c r="Q30" i="2"/>
  <c r="P30" i="2"/>
  <c r="O30" i="2"/>
  <c r="N30" i="2"/>
  <c r="M30" i="2"/>
  <c r="L30" i="2"/>
  <c r="K30" i="2"/>
  <c r="J30" i="2"/>
  <c r="I30" i="2"/>
  <c r="H30" i="2"/>
  <c r="G30" i="2"/>
  <c r="F30" i="2"/>
  <c r="E30" i="2"/>
  <c r="D30" i="2"/>
  <c r="C30" i="2"/>
  <c r="Q29" i="2"/>
  <c r="P29" i="2"/>
  <c r="O29" i="2"/>
  <c r="N29" i="2"/>
  <c r="M29" i="2"/>
  <c r="L29" i="2"/>
  <c r="K29" i="2"/>
  <c r="J29" i="2"/>
  <c r="I29" i="2"/>
  <c r="H29" i="2"/>
  <c r="G29" i="2"/>
  <c r="F29" i="2"/>
  <c r="E29" i="2"/>
  <c r="D29" i="2"/>
  <c r="C29" i="2"/>
  <c r="Q28" i="2"/>
  <c r="P28" i="2"/>
  <c r="O28" i="2"/>
  <c r="N28" i="2"/>
  <c r="M28" i="2"/>
  <c r="L28" i="2"/>
  <c r="K28" i="2"/>
  <c r="J28" i="2"/>
  <c r="I28" i="2"/>
  <c r="H28" i="2"/>
  <c r="G28" i="2"/>
  <c r="F28" i="2"/>
  <c r="E28" i="2"/>
  <c r="D28" i="2"/>
  <c r="C28" i="2"/>
  <c r="O47" i="2" s="1"/>
  <c r="Q27" i="2"/>
  <c r="P27" i="2"/>
  <c r="O27" i="2"/>
  <c r="N27" i="2"/>
  <c r="M27" i="2"/>
  <c r="L27" i="2"/>
  <c r="K27" i="2"/>
  <c r="J27" i="2"/>
  <c r="I27" i="2"/>
  <c r="H27" i="2"/>
  <c r="G27" i="2"/>
  <c r="F27" i="2"/>
  <c r="E27" i="2"/>
  <c r="D27" i="2"/>
  <c r="C27" i="2"/>
  <c r="B27" i="2"/>
  <c r="B28" i="2" s="1"/>
  <c r="B29" i="2" s="1"/>
  <c r="B30" i="2" s="1"/>
  <c r="B31" i="2" s="1"/>
  <c r="B32" i="2" s="1"/>
  <c r="B33" i="2" s="1"/>
  <c r="B34" i="2" s="1"/>
  <c r="B35" i="2" s="1"/>
  <c r="B36" i="2" s="1"/>
  <c r="B37" i="2" s="1"/>
  <c r="B38" i="2" s="1"/>
  <c r="B39" i="2" s="1"/>
  <c r="B40" i="2" s="1"/>
  <c r="B41" i="2" s="1"/>
  <c r="B42" i="2" s="1"/>
  <c r="B43" i="2" s="1"/>
  <c r="B44" i="2" s="1"/>
  <c r="B45" i="2" s="1"/>
  <c r="B46" i="2" s="1"/>
  <c r="B47" i="2" s="1"/>
  <c r="A26" i="2"/>
  <c r="A25" i="2"/>
  <c r="Q24" i="2"/>
  <c r="P24" i="2"/>
  <c r="O24" i="2"/>
  <c r="N24" i="2"/>
  <c r="M24" i="2"/>
  <c r="L24" i="2"/>
  <c r="K24" i="2"/>
  <c r="J24" i="2"/>
  <c r="I24" i="2"/>
  <c r="H24" i="2"/>
  <c r="G24" i="2"/>
  <c r="F24" i="2"/>
  <c r="E24" i="2"/>
  <c r="D24" i="2"/>
  <c r="C24" i="2"/>
  <c r="B24" i="2"/>
  <c r="A24" i="2"/>
  <c r="Q23" i="2"/>
  <c r="Q26" i="2" s="1"/>
  <c r="P23" i="2"/>
  <c r="P26" i="2" s="1"/>
  <c r="O23" i="2"/>
  <c r="O26" i="2" s="1"/>
  <c r="N23" i="2"/>
  <c r="N26" i="2" s="1"/>
  <c r="M23" i="2"/>
  <c r="M26" i="2" s="1"/>
  <c r="L23" i="2"/>
  <c r="L26" i="2" s="1"/>
  <c r="K23" i="2"/>
  <c r="K26" i="2" s="1"/>
  <c r="J23" i="2"/>
  <c r="J26" i="2" s="1"/>
  <c r="I23" i="2"/>
  <c r="I26" i="2" s="1"/>
  <c r="H23" i="2"/>
  <c r="H26" i="2" s="1"/>
  <c r="G23" i="2"/>
  <c r="G26" i="2" s="1"/>
  <c r="F23" i="2"/>
  <c r="F26" i="2" s="1"/>
  <c r="E23" i="2"/>
  <c r="E26" i="2" s="1"/>
  <c r="D23" i="2"/>
  <c r="C23" i="2"/>
  <c r="B23" i="2"/>
  <c r="A23" i="2"/>
  <c r="O13" i="2"/>
  <c r="K13" i="2"/>
  <c r="G13" i="2"/>
  <c r="C13" i="2"/>
  <c r="B13" i="2"/>
  <c r="B14" i="2" s="1"/>
  <c r="A3" i="2"/>
  <c r="C54" i="1"/>
  <c r="C53" i="1"/>
  <c r="C52" i="1"/>
  <c r="C51" i="1"/>
  <c r="C50" i="1"/>
  <c r="C49" i="1"/>
  <c r="E47" i="1"/>
  <c r="D47" i="1"/>
  <c r="C47" i="1"/>
  <c r="W46" i="1"/>
  <c r="V46" i="1"/>
  <c r="U46" i="1"/>
  <c r="T46" i="1"/>
  <c r="S46" i="1"/>
  <c r="R46" i="1"/>
  <c r="Q46" i="1"/>
  <c r="P46" i="1"/>
  <c r="O46" i="1"/>
  <c r="N46" i="1"/>
  <c r="M46" i="1"/>
  <c r="L46" i="1"/>
  <c r="K46" i="1"/>
  <c r="J46" i="1"/>
  <c r="I46" i="1"/>
  <c r="H46" i="1"/>
  <c r="G46" i="1"/>
  <c r="F46" i="1"/>
  <c r="E46" i="1"/>
  <c r="D46" i="1"/>
  <c r="C46" i="1"/>
  <c r="W45" i="1"/>
  <c r="V45" i="1"/>
  <c r="U45" i="1"/>
  <c r="T45" i="1"/>
  <c r="S45" i="1"/>
  <c r="R45" i="1"/>
  <c r="Q45" i="1"/>
  <c r="P45" i="1"/>
  <c r="O45" i="1"/>
  <c r="N45" i="1"/>
  <c r="M45" i="1"/>
  <c r="L45" i="1"/>
  <c r="K45" i="1"/>
  <c r="J45" i="1"/>
  <c r="I45" i="1"/>
  <c r="H45" i="1"/>
  <c r="G45" i="1"/>
  <c r="F45" i="1"/>
  <c r="E45" i="1"/>
  <c r="D45" i="1"/>
  <c r="C45" i="1"/>
  <c r="W44" i="1"/>
  <c r="V44" i="1"/>
  <c r="U44" i="1"/>
  <c r="T44" i="1"/>
  <c r="S44" i="1"/>
  <c r="R44" i="1"/>
  <c r="Q44" i="1"/>
  <c r="P44" i="1"/>
  <c r="O44" i="1"/>
  <c r="N44" i="1"/>
  <c r="M44" i="1"/>
  <c r="L44" i="1"/>
  <c r="K44" i="1"/>
  <c r="J44" i="1"/>
  <c r="I44" i="1"/>
  <c r="H44" i="1"/>
  <c r="G44" i="1"/>
  <c r="F44" i="1"/>
  <c r="E44" i="1"/>
  <c r="D44" i="1"/>
  <c r="C44" i="1"/>
  <c r="W43" i="1"/>
  <c r="V43" i="1"/>
  <c r="U43" i="1"/>
  <c r="T43" i="1"/>
  <c r="S43" i="1"/>
  <c r="R43" i="1"/>
  <c r="Q43" i="1"/>
  <c r="P43" i="1"/>
  <c r="O43" i="1"/>
  <c r="N43" i="1"/>
  <c r="M43" i="1"/>
  <c r="L43" i="1"/>
  <c r="K43" i="1"/>
  <c r="J43" i="1"/>
  <c r="I43" i="1"/>
  <c r="H43" i="1"/>
  <c r="G43" i="1"/>
  <c r="F43" i="1"/>
  <c r="E43" i="1"/>
  <c r="D43" i="1"/>
  <c r="C43" i="1"/>
  <c r="W42" i="1"/>
  <c r="V42" i="1"/>
  <c r="U42" i="1"/>
  <c r="T42" i="1"/>
  <c r="S42" i="1"/>
  <c r="R42" i="1"/>
  <c r="Q42" i="1"/>
  <c r="P42" i="1"/>
  <c r="O42" i="1"/>
  <c r="N42" i="1"/>
  <c r="M42" i="1"/>
  <c r="L42" i="1"/>
  <c r="K42" i="1"/>
  <c r="J42" i="1"/>
  <c r="I42" i="1"/>
  <c r="H42" i="1"/>
  <c r="G42" i="1"/>
  <c r="F42" i="1"/>
  <c r="E42" i="1"/>
  <c r="D42" i="1"/>
  <c r="C42" i="1"/>
  <c r="W41" i="1"/>
  <c r="V41" i="1"/>
  <c r="U41" i="1"/>
  <c r="T41" i="1"/>
  <c r="S41" i="1"/>
  <c r="R41" i="1"/>
  <c r="Q41" i="1"/>
  <c r="P41" i="1"/>
  <c r="O41" i="1"/>
  <c r="N41" i="1"/>
  <c r="M41" i="1"/>
  <c r="L41" i="1"/>
  <c r="K41" i="1"/>
  <c r="J41" i="1"/>
  <c r="I41" i="1"/>
  <c r="H41" i="1"/>
  <c r="G41" i="1"/>
  <c r="F41" i="1"/>
  <c r="E41" i="1"/>
  <c r="D41" i="1"/>
  <c r="C41" i="1"/>
  <c r="W40" i="1"/>
  <c r="V40" i="1"/>
  <c r="U40" i="1"/>
  <c r="T40" i="1"/>
  <c r="S40" i="1"/>
  <c r="R40" i="1"/>
  <c r="Q40" i="1"/>
  <c r="P40" i="1"/>
  <c r="O40" i="1"/>
  <c r="N40" i="1"/>
  <c r="M40" i="1"/>
  <c r="L40" i="1"/>
  <c r="K40" i="1"/>
  <c r="J40" i="1"/>
  <c r="I40" i="1"/>
  <c r="H40" i="1"/>
  <c r="G40" i="1"/>
  <c r="F40" i="1"/>
  <c r="E40" i="1"/>
  <c r="D40" i="1"/>
  <c r="C40" i="1"/>
  <c r="W39" i="1"/>
  <c r="V39" i="1"/>
  <c r="U39" i="1"/>
  <c r="T39" i="1"/>
  <c r="S39" i="1"/>
  <c r="R39" i="1"/>
  <c r="Q39" i="1"/>
  <c r="P39" i="1"/>
  <c r="O39" i="1"/>
  <c r="N39" i="1"/>
  <c r="M39" i="1"/>
  <c r="L39" i="1"/>
  <c r="K39" i="1"/>
  <c r="J39" i="1"/>
  <c r="I39" i="1"/>
  <c r="H39" i="1"/>
  <c r="G39" i="1"/>
  <c r="F39" i="1"/>
  <c r="E39" i="1"/>
  <c r="D39" i="1"/>
  <c r="C39" i="1"/>
  <c r="W38" i="1"/>
  <c r="V38" i="1"/>
  <c r="U38" i="1"/>
  <c r="T38" i="1"/>
  <c r="S38" i="1"/>
  <c r="R38" i="1"/>
  <c r="Q38" i="1"/>
  <c r="P38" i="1"/>
  <c r="O38" i="1"/>
  <c r="N38" i="1"/>
  <c r="M38" i="1"/>
  <c r="L38" i="1"/>
  <c r="K38" i="1"/>
  <c r="J38" i="1"/>
  <c r="I38" i="1"/>
  <c r="H38" i="1"/>
  <c r="G38" i="1"/>
  <c r="F38" i="1"/>
  <c r="E38" i="1"/>
  <c r="D38" i="1"/>
  <c r="C38" i="1"/>
  <c r="W37" i="1"/>
  <c r="V37" i="1"/>
  <c r="U37" i="1"/>
  <c r="T37" i="1"/>
  <c r="S37" i="1"/>
  <c r="R37" i="1"/>
  <c r="Q37" i="1"/>
  <c r="P37" i="1"/>
  <c r="O37" i="1"/>
  <c r="N37" i="1"/>
  <c r="M37" i="1"/>
  <c r="L37" i="1"/>
  <c r="K37" i="1"/>
  <c r="J37" i="1"/>
  <c r="I37" i="1"/>
  <c r="H37" i="1"/>
  <c r="G37" i="1"/>
  <c r="F37" i="1"/>
  <c r="E37" i="1"/>
  <c r="D37" i="1"/>
  <c r="C37" i="1"/>
  <c r="W36" i="1"/>
  <c r="V36" i="1"/>
  <c r="U36" i="1"/>
  <c r="T36" i="1"/>
  <c r="S36" i="1"/>
  <c r="R36" i="1"/>
  <c r="Q36" i="1"/>
  <c r="P36" i="1"/>
  <c r="O36" i="1"/>
  <c r="N36" i="1"/>
  <c r="M36" i="1"/>
  <c r="L36" i="1"/>
  <c r="K36" i="1"/>
  <c r="J36" i="1"/>
  <c r="I36" i="1"/>
  <c r="H36" i="1"/>
  <c r="G36" i="1"/>
  <c r="F36" i="1"/>
  <c r="E36" i="1"/>
  <c r="D36" i="1"/>
  <c r="C36" i="1"/>
  <c r="W35" i="1"/>
  <c r="V35" i="1"/>
  <c r="U35" i="1"/>
  <c r="T35" i="1"/>
  <c r="S35" i="1"/>
  <c r="R35" i="1"/>
  <c r="Q35" i="1"/>
  <c r="P35" i="1"/>
  <c r="O35" i="1"/>
  <c r="N35" i="1"/>
  <c r="M35" i="1"/>
  <c r="L35" i="1"/>
  <c r="K35" i="1"/>
  <c r="J35" i="1"/>
  <c r="I35" i="1"/>
  <c r="H35" i="1"/>
  <c r="G35" i="1"/>
  <c r="F35" i="1"/>
  <c r="E35" i="1"/>
  <c r="D35" i="1"/>
  <c r="C35" i="1"/>
  <c r="W34" i="1"/>
  <c r="V34" i="1"/>
  <c r="U34" i="1"/>
  <c r="T34" i="1"/>
  <c r="S34" i="1"/>
  <c r="R34" i="1"/>
  <c r="Q34" i="1"/>
  <c r="P34" i="1"/>
  <c r="O34" i="1"/>
  <c r="N34" i="1"/>
  <c r="M34" i="1"/>
  <c r="L34" i="1"/>
  <c r="K34" i="1"/>
  <c r="J34" i="1"/>
  <c r="I34" i="1"/>
  <c r="H34" i="1"/>
  <c r="G34" i="1"/>
  <c r="F34" i="1"/>
  <c r="E34" i="1"/>
  <c r="D34" i="1"/>
  <c r="C34" i="1"/>
  <c r="W33" i="1"/>
  <c r="V33" i="1"/>
  <c r="U33" i="1"/>
  <c r="T33" i="1"/>
  <c r="S33" i="1"/>
  <c r="R33" i="1"/>
  <c r="Q33" i="1"/>
  <c r="P33" i="1"/>
  <c r="O33" i="1"/>
  <c r="N33" i="1"/>
  <c r="M33" i="1"/>
  <c r="L33" i="1"/>
  <c r="K33" i="1"/>
  <c r="J33" i="1"/>
  <c r="I33" i="1"/>
  <c r="H33" i="1"/>
  <c r="G33" i="1"/>
  <c r="F33" i="1"/>
  <c r="E33" i="1"/>
  <c r="D33" i="1"/>
  <c r="C33" i="1"/>
  <c r="W32" i="1"/>
  <c r="V32" i="1"/>
  <c r="U32" i="1"/>
  <c r="T32" i="1"/>
  <c r="S32" i="1"/>
  <c r="R32" i="1"/>
  <c r="Q32" i="1"/>
  <c r="P32" i="1"/>
  <c r="O32" i="1"/>
  <c r="N32" i="1"/>
  <c r="M32" i="1"/>
  <c r="L32" i="1"/>
  <c r="K32" i="1"/>
  <c r="J32" i="1"/>
  <c r="I32" i="1"/>
  <c r="H32" i="1"/>
  <c r="G32" i="1"/>
  <c r="F32" i="1"/>
  <c r="E32" i="1"/>
  <c r="D32" i="1"/>
  <c r="C32" i="1"/>
  <c r="W31" i="1"/>
  <c r="V31" i="1"/>
  <c r="U31" i="1"/>
  <c r="T31" i="1"/>
  <c r="S31" i="1"/>
  <c r="R31" i="1"/>
  <c r="Q31" i="1"/>
  <c r="P31" i="1"/>
  <c r="O31" i="1"/>
  <c r="N31" i="1"/>
  <c r="M31" i="1"/>
  <c r="L31" i="1"/>
  <c r="K31" i="1"/>
  <c r="J31" i="1"/>
  <c r="I31" i="1"/>
  <c r="H31" i="1"/>
  <c r="G31" i="1"/>
  <c r="F31" i="1"/>
  <c r="E31" i="1"/>
  <c r="D31" i="1"/>
  <c r="C31" i="1"/>
  <c r="W30" i="1"/>
  <c r="V30" i="1"/>
  <c r="U30" i="1"/>
  <c r="T30" i="1"/>
  <c r="S30" i="1"/>
  <c r="R30" i="1"/>
  <c r="Q30" i="1"/>
  <c r="P30" i="1"/>
  <c r="O30" i="1"/>
  <c r="N30" i="1"/>
  <c r="M30" i="1"/>
  <c r="L30" i="1"/>
  <c r="K30" i="1"/>
  <c r="J30" i="1"/>
  <c r="I30" i="1"/>
  <c r="H30" i="1"/>
  <c r="G30" i="1"/>
  <c r="F30" i="1"/>
  <c r="E30" i="1"/>
  <c r="D30" i="1"/>
  <c r="C30" i="1"/>
  <c r="W29" i="1"/>
  <c r="V29" i="1"/>
  <c r="U29" i="1"/>
  <c r="T29" i="1"/>
  <c r="S29" i="1"/>
  <c r="R29" i="1"/>
  <c r="Q29" i="1"/>
  <c r="P29" i="1"/>
  <c r="O29" i="1"/>
  <c r="N29" i="1"/>
  <c r="M29" i="1"/>
  <c r="L29" i="1"/>
  <c r="K29" i="1"/>
  <c r="J29" i="1"/>
  <c r="I29" i="1"/>
  <c r="H29" i="1"/>
  <c r="G29" i="1"/>
  <c r="F29" i="1"/>
  <c r="E29" i="1"/>
  <c r="D29" i="1"/>
  <c r="C29" i="1"/>
  <c r="W28" i="1"/>
  <c r="V28" i="1"/>
  <c r="U28" i="1"/>
  <c r="T28" i="1"/>
  <c r="S28" i="1"/>
  <c r="R28" i="1"/>
  <c r="Q28" i="1"/>
  <c r="P28" i="1"/>
  <c r="O28" i="1"/>
  <c r="N28" i="1"/>
  <c r="M28" i="1"/>
  <c r="L28" i="1"/>
  <c r="K28" i="1"/>
  <c r="J28" i="1"/>
  <c r="I28" i="1"/>
  <c r="H28" i="1"/>
  <c r="G28" i="1"/>
  <c r="F28" i="1"/>
  <c r="E28" i="1"/>
  <c r="D28" i="1"/>
  <c r="C28" i="1"/>
  <c r="S47" i="1" s="1"/>
  <c r="W27" i="1"/>
  <c r="V27" i="1"/>
  <c r="U27" i="1"/>
  <c r="T27" i="1"/>
  <c r="S27" i="1"/>
  <c r="R27" i="1"/>
  <c r="Q27" i="1"/>
  <c r="P27" i="1"/>
  <c r="O27" i="1"/>
  <c r="N27" i="1"/>
  <c r="M27" i="1"/>
  <c r="L27" i="1"/>
  <c r="K27" i="1"/>
  <c r="J27" i="1"/>
  <c r="I27" i="1"/>
  <c r="H27" i="1"/>
  <c r="G27" i="1"/>
  <c r="F27" i="1"/>
  <c r="E27" i="1"/>
  <c r="D27" i="1"/>
  <c r="C27" i="1"/>
  <c r="B27" i="1"/>
  <c r="B28" i="1" s="1"/>
  <c r="B29" i="1" s="1"/>
  <c r="B30" i="1" s="1"/>
  <c r="B31" i="1" s="1"/>
  <c r="B32" i="1" s="1"/>
  <c r="B33" i="1" s="1"/>
  <c r="B34" i="1" s="1"/>
  <c r="B35" i="1" s="1"/>
  <c r="B36" i="1" s="1"/>
  <c r="B37" i="1" s="1"/>
  <c r="B38" i="1" s="1"/>
  <c r="B39" i="1" s="1"/>
  <c r="B40" i="1" s="1"/>
  <c r="B41" i="1" s="1"/>
  <c r="B42" i="1" s="1"/>
  <c r="B43" i="1" s="1"/>
  <c r="B44" i="1" s="1"/>
  <c r="B45" i="1" s="1"/>
  <c r="B46" i="1" s="1"/>
  <c r="B47" i="1" s="1"/>
  <c r="A26" i="1"/>
  <c r="A25" i="1"/>
  <c r="W24" i="1"/>
  <c r="V24" i="1"/>
  <c r="U24" i="1"/>
  <c r="T24" i="1"/>
  <c r="S24" i="1"/>
  <c r="R24" i="1"/>
  <c r="Q24" i="1"/>
  <c r="P24" i="1"/>
  <c r="O24" i="1"/>
  <c r="N24" i="1"/>
  <c r="M24" i="1"/>
  <c r="L24" i="1"/>
  <c r="K24" i="1"/>
  <c r="J24" i="1"/>
  <c r="I24" i="1"/>
  <c r="H24" i="1"/>
  <c r="G24" i="1"/>
  <c r="F24" i="1"/>
  <c r="E24" i="1"/>
  <c r="D24" i="1"/>
  <c r="C24" i="1"/>
  <c r="B24" i="1"/>
  <c r="A24" i="1"/>
  <c r="W23" i="1"/>
  <c r="W26" i="1" s="1"/>
  <c r="V23" i="1"/>
  <c r="V26" i="1" s="1"/>
  <c r="U23" i="1"/>
  <c r="U26" i="1" s="1"/>
  <c r="T23" i="1"/>
  <c r="T26" i="1" s="1"/>
  <c r="S23" i="1"/>
  <c r="S26" i="1" s="1"/>
  <c r="R23" i="1"/>
  <c r="R26" i="1" s="1"/>
  <c r="Q23" i="1"/>
  <c r="Q26" i="1" s="1"/>
  <c r="P23" i="1"/>
  <c r="P26" i="1" s="1"/>
  <c r="O23" i="1"/>
  <c r="O26" i="1" s="1"/>
  <c r="N23" i="1"/>
  <c r="N26" i="1" s="1"/>
  <c r="M23" i="1"/>
  <c r="M26" i="1" s="1"/>
  <c r="L23" i="1"/>
  <c r="L26" i="1" s="1"/>
  <c r="K23" i="1"/>
  <c r="K26" i="1" s="1"/>
  <c r="J23" i="1"/>
  <c r="J26" i="1" s="1"/>
  <c r="I23" i="1"/>
  <c r="I26" i="1" s="1"/>
  <c r="H23" i="1"/>
  <c r="H26" i="1" s="1"/>
  <c r="G23" i="1"/>
  <c r="G26" i="1" s="1"/>
  <c r="F23" i="1"/>
  <c r="F26" i="1" s="1"/>
  <c r="E23" i="1"/>
  <c r="E26" i="1" s="1"/>
  <c r="D23" i="1"/>
  <c r="C23" i="1"/>
  <c r="B23" i="1"/>
  <c r="A23" i="1"/>
  <c r="B13" i="1"/>
  <c r="W13" i="1" s="1"/>
  <c r="A3" i="1"/>
  <c r="D13" i="1" l="1"/>
  <c r="L13" i="1"/>
  <c r="P13" i="1"/>
  <c r="T13" i="1"/>
  <c r="B14" i="1"/>
  <c r="E13" i="1"/>
  <c r="I13" i="1"/>
  <c r="M13" i="1"/>
  <c r="Q13" i="1"/>
  <c r="B15" i="2"/>
  <c r="N14" i="2"/>
  <c r="J14" i="2"/>
  <c r="Q14" i="2"/>
  <c r="M14" i="2"/>
  <c r="I14" i="2"/>
  <c r="E14" i="2"/>
  <c r="P14" i="2"/>
  <c r="L14" i="2"/>
  <c r="D14" i="2"/>
  <c r="O14" i="2"/>
  <c r="K14" i="2"/>
  <c r="G14" i="2"/>
  <c r="C14" i="2"/>
  <c r="N13" i="1"/>
  <c r="J13" i="1"/>
  <c r="V13" i="1"/>
  <c r="C13" i="1"/>
  <c r="G13" i="1"/>
  <c r="K13" i="1"/>
  <c r="O13" i="1"/>
  <c r="S13" i="1"/>
  <c r="J47" i="1"/>
  <c r="N47" i="1"/>
  <c r="G47" i="2"/>
  <c r="L47" i="2"/>
  <c r="P47" i="2"/>
  <c r="Y43" i="4"/>
  <c r="U43" i="4"/>
  <c r="Q43" i="4"/>
  <c r="M43" i="4"/>
  <c r="I43" i="4"/>
  <c r="E43" i="4"/>
  <c r="AB43" i="4"/>
  <c r="X43" i="4"/>
  <c r="T43" i="4"/>
  <c r="P43" i="4"/>
  <c r="L43" i="4"/>
  <c r="H43" i="4"/>
  <c r="AA43" i="4"/>
  <c r="W43" i="4"/>
  <c r="S43" i="4"/>
  <c r="O43" i="4"/>
  <c r="K43" i="4"/>
  <c r="G43" i="4"/>
  <c r="Z43" i="4"/>
  <c r="V43" i="4"/>
  <c r="R43" i="4"/>
  <c r="N43" i="4"/>
  <c r="J43" i="4"/>
  <c r="F43" i="4"/>
  <c r="K47" i="1"/>
  <c r="O47" i="1"/>
  <c r="T47" i="1"/>
  <c r="D13" i="2"/>
  <c r="L13" i="2"/>
  <c r="P13" i="2"/>
  <c r="I47" i="2"/>
  <c r="M47" i="2"/>
  <c r="Q47" i="2"/>
  <c r="G47" i="1"/>
  <c r="L47" i="1"/>
  <c r="P47" i="1"/>
  <c r="V47" i="1"/>
  <c r="E13" i="2"/>
  <c r="I13" i="2"/>
  <c r="M13" i="2"/>
  <c r="Q13" i="2"/>
  <c r="J47" i="2"/>
  <c r="N47" i="2"/>
  <c r="I47" i="1"/>
  <c r="M47" i="1"/>
  <c r="Q47" i="1"/>
  <c r="W47" i="1"/>
  <c r="J13" i="2"/>
  <c r="N13" i="2"/>
  <c r="K47" i="2"/>
  <c r="F13" i="4"/>
  <c r="J13" i="4"/>
  <c r="P13" i="4"/>
  <c r="T13" i="4"/>
  <c r="X13" i="4"/>
  <c r="AB13" i="4"/>
  <c r="C13" i="4"/>
  <c r="G13" i="4"/>
  <c r="K13" i="4"/>
  <c r="Q13" i="4"/>
  <c r="U13" i="4"/>
  <c r="Y13" i="4"/>
  <c r="B14" i="4"/>
  <c r="D13" i="4"/>
  <c r="H13" i="4"/>
  <c r="L13" i="4"/>
  <c r="R13" i="4"/>
  <c r="V13" i="4"/>
  <c r="Z13" i="4"/>
  <c r="E13" i="4"/>
  <c r="I13" i="4"/>
  <c r="N13" i="4"/>
  <c r="S13" i="4"/>
  <c r="W13" i="4"/>
  <c r="Z14" i="4" l="1"/>
  <c r="V14" i="4"/>
  <c r="R14" i="4"/>
  <c r="L14" i="4"/>
  <c r="H14" i="4"/>
  <c r="D14" i="4"/>
  <c r="B15" i="4"/>
  <c r="Y14" i="4"/>
  <c r="U14" i="4"/>
  <c r="Q14" i="4"/>
  <c r="K14" i="4"/>
  <c r="G14" i="4"/>
  <c r="C14" i="4"/>
  <c r="AB14" i="4"/>
  <c r="X14" i="4"/>
  <c r="T14" i="4"/>
  <c r="P14" i="4"/>
  <c r="J14" i="4"/>
  <c r="F14" i="4"/>
  <c r="AA14" i="4"/>
  <c r="W14" i="4"/>
  <c r="S14" i="4"/>
  <c r="N14" i="4"/>
  <c r="I14" i="4"/>
  <c r="E14" i="4"/>
  <c r="B16" i="2"/>
  <c r="N15" i="2"/>
  <c r="J15" i="2"/>
  <c r="Q15" i="2"/>
  <c r="M15" i="2"/>
  <c r="I15" i="2"/>
  <c r="E15" i="2"/>
  <c r="P15" i="2"/>
  <c r="L15" i="2"/>
  <c r="D15" i="2"/>
  <c r="O15" i="2"/>
  <c r="K15" i="2"/>
  <c r="G15" i="2"/>
  <c r="C15" i="2"/>
  <c r="Q14" i="1"/>
  <c r="M14" i="1"/>
  <c r="I14" i="1"/>
  <c r="E14" i="1"/>
  <c r="P14" i="1"/>
  <c r="D14" i="1"/>
  <c r="B15" i="1"/>
  <c r="L14" i="1"/>
  <c r="W14" i="1"/>
  <c r="S14" i="1"/>
  <c r="O14" i="1"/>
  <c r="K14" i="1"/>
  <c r="G14" i="1"/>
  <c r="C14" i="1"/>
  <c r="H13" i="1" s="1"/>
  <c r="V14" i="1"/>
  <c r="N14" i="1"/>
  <c r="J14" i="1"/>
  <c r="T14" i="1"/>
  <c r="R13" i="1" l="1"/>
  <c r="U13" i="1"/>
  <c r="F13" i="1"/>
  <c r="B16" i="4"/>
  <c r="Y15" i="4"/>
  <c r="U15" i="4"/>
  <c r="Q15" i="4"/>
  <c r="K15" i="4"/>
  <c r="G15" i="4"/>
  <c r="C15" i="4"/>
  <c r="AB15" i="4"/>
  <c r="X15" i="4"/>
  <c r="T15" i="4"/>
  <c r="P15" i="4"/>
  <c r="J15" i="4"/>
  <c r="F15" i="4"/>
  <c r="AA15" i="4"/>
  <c r="W15" i="4"/>
  <c r="S15" i="4"/>
  <c r="N15" i="4"/>
  <c r="I15" i="4"/>
  <c r="E15" i="4"/>
  <c r="Z15" i="4"/>
  <c r="V15" i="4"/>
  <c r="R15" i="4"/>
  <c r="L15" i="4"/>
  <c r="H15" i="4"/>
  <c r="D15" i="4"/>
  <c r="U14" i="1"/>
  <c r="W15" i="1"/>
  <c r="S15" i="1"/>
  <c r="O15" i="1"/>
  <c r="K15" i="1"/>
  <c r="G15" i="1"/>
  <c r="C15" i="1"/>
  <c r="R14" i="1" s="1"/>
  <c r="V15" i="1"/>
  <c r="J15" i="1"/>
  <c r="Q15" i="1"/>
  <c r="M15" i="1"/>
  <c r="I15" i="1"/>
  <c r="E15" i="1"/>
  <c r="B16" i="1"/>
  <c r="T15" i="1"/>
  <c r="P15" i="1"/>
  <c r="L15" i="1"/>
  <c r="D15" i="1"/>
  <c r="N15" i="1"/>
  <c r="H14" i="1"/>
  <c r="B17" i="2"/>
  <c r="N16" i="2"/>
  <c r="J16" i="2"/>
  <c r="Q16" i="2"/>
  <c r="M16" i="2"/>
  <c r="I16" i="2"/>
  <c r="E16" i="2"/>
  <c r="P16" i="2"/>
  <c r="L16" i="2"/>
  <c r="D16" i="2"/>
  <c r="O16" i="2"/>
  <c r="K16" i="2"/>
  <c r="G16" i="2"/>
  <c r="C16" i="2"/>
  <c r="B18" i="2" l="1"/>
  <c r="N17" i="2"/>
  <c r="J17" i="2"/>
  <c r="Q17" i="2"/>
  <c r="M17" i="2"/>
  <c r="I17" i="2"/>
  <c r="E17" i="2"/>
  <c r="P17" i="2"/>
  <c r="L17" i="2"/>
  <c r="D17" i="2"/>
  <c r="O17" i="2"/>
  <c r="K17" i="2"/>
  <c r="G17" i="2"/>
  <c r="C17" i="2"/>
  <c r="Q16" i="1"/>
  <c r="M16" i="1"/>
  <c r="I16" i="1"/>
  <c r="E16" i="1"/>
  <c r="B17" i="1"/>
  <c r="T16" i="1"/>
  <c r="L16" i="1"/>
  <c r="W16" i="1"/>
  <c r="S16" i="1"/>
  <c r="O16" i="1"/>
  <c r="K16" i="1"/>
  <c r="G16" i="1"/>
  <c r="C16" i="1"/>
  <c r="V16" i="1"/>
  <c r="N16" i="1"/>
  <c r="J16" i="1"/>
  <c r="P16" i="1"/>
  <c r="D16" i="1"/>
  <c r="F15" i="1"/>
  <c r="F14" i="1"/>
  <c r="Z16" i="4"/>
  <c r="V16" i="4"/>
  <c r="R16" i="4"/>
  <c r="N16" i="4"/>
  <c r="J16" i="4"/>
  <c r="F16" i="4"/>
  <c r="B17" i="4"/>
  <c r="Y16" i="4"/>
  <c r="U16" i="4"/>
  <c r="Q16" i="4"/>
  <c r="M16" i="4"/>
  <c r="I16" i="4"/>
  <c r="E16" i="4"/>
  <c r="AB16" i="4"/>
  <c r="X16" i="4"/>
  <c r="T16" i="4"/>
  <c r="P16" i="4"/>
  <c r="L16" i="4"/>
  <c r="H16" i="4"/>
  <c r="D16" i="4"/>
  <c r="AA16" i="4"/>
  <c r="W16" i="4"/>
  <c r="S16" i="4"/>
  <c r="O16" i="4"/>
  <c r="K16" i="4"/>
  <c r="G16" i="4"/>
  <c r="C16" i="4"/>
  <c r="H15" i="1"/>
  <c r="U15" i="1"/>
  <c r="R15" i="1"/>
  <c r="W17" i="1" l="1"/>
  <c r="S17" i="1"/>
  <c r="O17" i="1"/>
  <c r="K17" i="1"/>
  <c r="G17" i="1"/>
  <c r="C17" i="1"/>
  <c r="R16" i="1" s="1"/>
  <c r="V17" i="1"/>
  <c r="N17" i="1"/>
  <c r="J17" i="1"/>
  <c r="Q17" i="1"/>
  <c r="M17" i="1"/>
  <c r="I17" i="1"/>
  <c r="E17" i="1"/>
  <c r="B18" i="1"/>
  <c r="T17" i="1"/>
  <c r="P17" i="1"/>
  <c r="L17" i="1"/>
  <c r="D17" i="1"/>
  <c r="F16" i="1"/>
  <c r="H16" i="1"/>
  <c r="B19" i="2"/>
  <c r="N18" i="2"/>
  <c r="J18" i="2"/>
  <c r="Q18" i="2"/>
  <c r="M18" i="2"/>
  <c r="I18" i="2"/>
  <c r="E18" i="2"/>
  <c r="P18" i="2"/>
  <c r="L18" i="2"/>
  <c r="D18" i="2"/>
  <c r="O18" i="2"/>
  <c r="K18" i="2"/>
  <c r="G18" i="2"/>
  <c r="C18" i="2"/>
  <c r="AA17" i="4"/>
  <c r="W17" i="4"/>
  <c r="S17" i="4"/>
  <c r="O17" i="4"/>
  <c r="K17" i="4"/>
  <c r="G17" i="4"/>
  <c r="C17" i="4"/>
  <c r="Z17" i="4"/>
  <c r="V17" i="4"/>
  <c r="R17" i="4"/>
  <c r="N17" i="4"/>
  <c r="J17" i="4"/>
  <c r="F17" i="4"/>
  <c r="B18" i="4"/>
  <c r="Y17" i="4"/>
  <c r="U17" i="4"/>
  <c r="Q17" i="4"/>
  <c r="M17" i="4"/>
  <c r="I17" i="4"/>
  <c r="E17" i="4"/>
  <c r="AB17" i="4"/>
  <c r="X17" i="4"/>
  <c r="T17" i="4"/>
  <c r="P17" i="4"/>
  <c r="L17" i="4"/>
  <c r="H17" i="4"/>
  <c r="D17" i="4"/>
  <c r="U16" i="1"/>
  <c r="AB18" i="4" l="1"/>
  <c r="X18" i="4"/>
  <c r="T18" i="4"/>
  <c r="P18" i="4"/>
  <c r="L18" i="4"/>
  <c r="H18" i="4"/>
  <c r="D18" i="4"/>
  <c r="AA18" i="4"/>
  <c r="W18" i="4"/>
  <c r="S18" i="4"/>
  <c r="O18" i="4"/>
  <c r="K18" i="4"/>
  <c r="G18" i="4"/>
  <c r="C18" i="4"/>
  <c r="Z18" i="4"/>
  <c r="V18" i="4"/>
  <c r="R18" i="4"/>
  <c r="N18" i="4"/>
  <c r="J18" i="4"/>
  <c r="F18" i="4"/>
  <c r="B19" i="4"/>
  <c r="Y18" i="4"/>
  <c r="U18" i="4"/>
  <c r="Q18" i="4"/>
  <c r="M18" i="4"/>
  <c r="I18" i="4"/>
  <c r="E18" i="4"/>
  <c r="Q18" i="1"/>
  <c r="M18" i="1"/>
  <c r="I18" i="1"/>
  <c r="E18" i="1"/>
  <c r="T18" i="1"/>
  <c r="P18" i="1"/>
  <c r="D18" i="1"/>
  <c r="W18" i="1"/>
  <c r="S18" i="1"/>
  <c r="O18" i="1"/>
  <c r="K18" i="1"/>
  <c r="G18" i="1"/>
  <c r="C18" i="1"/>
  <c r="U17" i="1" s="1"/>
  <c r="V18" i="1"/>
  <c r="N18" i="1"/>
  <c r="J18" i="1"/>
  <c r="B19" i="1"/>
  <c r="L18" i="1"/>
  <c r="B20" i="2"/>
  <c r="N19" i="2"/>
  <c r="J19" i="2"/>
  <c r="Q19" i="2"/>
  <c r="M19" i="2"/>
  <c r="I19" i="2"/>
  <c r="E19" i="2"/>
  <c r="P19" i="2"/>
  <c r="L19" i="2"/>
  <c r="D19" i="2"/>
  <c r="O19" i="2"/>
  <c r="K19" i="2"/>
  <c r="G19" i="2"/>
  <c r="C19" i="2"/>
  <c r="H17" i="1"/>
  <c r="R17" i="1" l="1"/>
  <c r="B21" i="2"/>
  <c r="N20" i="2"/>
  <c r="J20" i="2"/>
  <c r="Q20" i="2"/>
  <c r="M20" i="2"/>
  <c r="I20" i="2"/>
  <c r="E20" i="2"/>
  <c r="P20" i="2"/>
  <c r="L20" i="2"/>
  <c r="D20" i="2"/>
  <c r="O20" i="2"/>
  <c r="K20" i="2"/>
  <c r="G20" i="2"/>
  <c r="C20" i="2"/>
  <c r="W19" i="1"/>
  <c r="S19" i="1"/>
  <c r="O19" i="1"/>
  <c r="K19" i="1"/>
  <c r="G19" i="1"/>
  <c r="C19" i="1"/>
  <c r="H18" i="1" s="1"/>
  <c r="V19" i="1"/>
  <c r="N19" i="1"/>
  <c r="J19" i="1"/>
  <c r="Q19" i="1"/>
  <c r="M19" i="1"/>
  <c r="I19" i="1"/>
  <c r="E19" i="1"/>
  <c r="B20" i="1"/>
  <c r="T19" i="1"/>
  <c r="P19" i="1"/>
  <c r="L19" i="1"/>
  <c r="D19" i="1"/>
  <c r="R18" i="1"/>
  <c r="B20" i="4"/>
  <c r="Y19" i="4"/>
  <c r="U19" i="4"/>
  <c r="Q19" i="4"/>
  <c r="M19" i="4"/>
  <c r="I19" i="4"/>
  <c r="E19" i="4"/>
  <c r="AB19" i="4"/>
  <c r="X19" i="4"/>
  <c r="T19" i="4"/>
  <c r="P19" i="4"/>
  <c r="L19" i="4"/>
  <c r="H19" i="4"/>
  <c r="D19" i="4"/>
  <c r="AA19" i="4"/>
  <c r="W19" i="4"/>
  <c r="S19" i="4"/>
  <c r="O19" i="4"/>
  <c r="K19" i="4"/>
  <c r="G19" i="4"/>
  <c r="C19" i="4"/>
  <c r="Z19" i="4"/>
  <c r="V19" i="4"/>
  <c r="R19" i="4"/>
  <c r="N19" i="4"/>
  <c r="J19" i="4"/>
  <c r="F19" i="4"/>
  <c r="F17" i="1"/>
  <c r="F18" i="1"/>
  <c r="Z20" i="4" l="1"/>
  <c r="V20" i="4"/>
  <c r="R20" i="4"/>
  <c r="N20" i="4"/>
  <c r="J20" i="4"/>
  <c r="F20" i="4"/>
  <c r="B21" i="4"/>
  <c r="Y20" i="4"/>
  <c r="U20" i="4"/>
  <c r="Q20" i="4"/>
  <c r="M20" i="4"/>
  <c r="I20" i="4"/>
  <c r="E20" i="4"/>
  <c r="AB20" i="4"/>
  <c r="X20" i="4"/>
  <c r="T20" i="4"/>
  <c r="P20" i="4"/>
  <c r="L20" i="4"/>
  <c r="H20" i="4"/>
  <c r="D20" i="4"/>
  <c r="AA20" i="4"/>
  <c r="W20" i="4"/>
  <c r="S20" i="4"/>
  <c r="O20" i="4"/>
  <c r="K20" i="4"/>
  <c r="G20" i="4"/>
  <c r="C20" i="4"/>
  <c r="B22" i="2"/>
  <c r="N21" i="2"/>
  <c r="J21" i="2"/>
  <c r="Q21" i="2"/>
  <c r="M21" i="2"/>
  <c r="I21" i="2"/>
  <c r="E21" i="2"/>
  <c r="P21" i="2"/>
  <c r="L21" i="2"/>
  <c r="D21" i="2"/>
  <c r="O21" i="2"/>
  <c r="K21" i="2"/>
  <c r="G21" i="2"/>
  <c r="C21" i="2"/>
  <c r="Q20" i="1"/>
  <c r="M20" i="1"/>
  <c r="I20" i="1"/>
  <c r="E20" i="1"/>
  <c r="P20" i="1"/>
  <c r="L20" i="1"/>
  <c r="B21" i="1"/>
  <c r="D20" i="1"/>
  <c r="W20" i="1"/>
  <c r="S20" i="1"/>
  <c r="O20" i="1"/>
  <c r="K20" i="1"/>
  <c r="G20" i="1"/>
  <c r="C20" i="1"/>
  <c r="H19" i="1" s="1"/>
  <c r="V20" i="1"/>
  <c r="N20" i="1"/>
  <c r="J20" i="1"/>
  <c r="T20" i="1"/>
  <c r="R19" i="1"/>
  <c r="U18" i="1"/>
  <c r="AA21" i="4" l="1"/>
  <c r="W21" i="4"/>
  <c r="S21" i="4"/>
  <c r="O21" i="4"/>
  <c r="K21" i="4"/>
  <c r="G21" i="4"/>
  <c r="C21" i="4"/>
  <c r="Z21" i="4"/>
  <c r="V21" i="4"/>
  <c r="R21" i="4"/>
  <c r="N21" i="4"/>
  <c r="J21" i="4"/>
  <c r="F21" i="4"/>
  <c r="B22" i="4"/>
  <c r="Y21" i="4"/>
  <c r="U21" i="4"/>
  <c r="Q21" i="4"/>
  <c r="M21" i="4"/>
  <c r="I21" i="4"/>
  <c r="E21" i="4"/>
  <c r="AB21" i="4"/>
  <c r="X21" i="4"/>
  <c r="T21" i="4"/>
  <c r="P21" i="4"/>
  <c r="L21" i="4"/>
  <c r="H21" i="4"/>
  <c r="D21" i="4"/>
  <c r="W21" i="1"/>
  <c r="S21" i="1"/>
  <c r="O21" i="1"/>
  <c r="K21" i="1"/>
  <c r="G21" i="1"/>
  <c r="C21" i="1"/>
  <c r="H20" i="1" s="1"/>
  <c r="N21" i="1"/>
  <c r="Q21" i="1"/>
  <c r="M21" i="1"/>
  <c r="I21" i="1"/>
  <c r="E21" i="1"/>
  <c r="B22" i="1"/>
  <c r="T21" i="1"/>
  <c r="P21" i="1"/>
  <c r="L21" i="1"/>
  <c r="D21" i="1"/>
  <c r="V21" i="1"/>
  <c r="J21" i="1"/>
  <c r="N22" i="2"/>
  <c r="J22" i="2"/>
  <c r="Q22" i="2"/>
  <c r="M22" i="2"/>
  <c r="I22" i="2"/>
  <c r="E22" i="2"/>
  <c r="P22" i="2"/>
  <c r="L22" i="2"/>
  <c r="D22" i="2"/>
  <c r="O22" i="2"/>
  <c r="K22" i="2"/>
  <c r="G22" i="2"/>
  <c r="C22" i="2"/>
  <c r="H16" i="2" s="1"/>
  <c r="R20" i="1"/>
  <c r="U19" i="1"/>
  <c r="F19" i="1"/>
  <c r="F20" i="1"/>
  <c r="AB22" i="4" l="1"/>
  <c r="X22" i="4"/>
  <c r="T22" i="4"/>
  <c r="P22" i="4"/>
  <c r="L22" i="4"/>
  <c r="H22" i="4"/>
  <c r="D22" i="4"/>
  <c r="AA22" i="4"/>
  <c r="W22" i="4"/>
  <c r="S22" i="4"/>
  <c r="O22" i="4"/>
  <c r="K22" i="4"/>
  <c r="G22" i="4"/>
  <c r="C22" i="4"/>
  <c r="Z22" i="4"/>
  <c r="V22" i="4"/>
  <c r="R22" i="4"/>
  <c r="N22" i="4"/>
  <c r="J22" i="4"/>
  <c r="F22" i="4"/>
  <c r="Y22" i="4"/>
  <c r="U22" i="4"/>
  <c r="Q22" i="4"/>
  <c r="M22" i="4"/>
  <c r="I22" i="4"/>
  <c r="E22" i="4"/>
  <c r="F13" i="2"/>
  <c r="H18" i="2"/>
  <c r="F18" i="2"/>
  <c r="H14" i="2"/>
  <c r="F14" i="2"/>
  <c r="F19" i="2"/>
  <c r="H17" i="2"/>
  <c r="H15" i="2"/>
  <c r="H20" i="2"/>
  <c r="H22" i="2"/>
  <c r="H19" i="2"/>
  <c r="F20" i="2"/>
  <c r="F22" i="2"/>
  <c r="F21" i="2"/>
  <c r="Q22" i="1"/>
  <c r="M22" i="1"/>
  <c r="I22" i="1"/>
  <c r="H22" i="1" s="1"/>
  <c r="E22" i="1"/>
  <c r="P22" i="1"/>
  <c r="D22" i="1"/>
  <c r="T22" i="1"/>
  <c r="W22" i="1"/>
  <c r="S22" i="1"/>
  <c r="O22" i="1"/>
  <c r="K22" i="1"/>
  <c r="G22" i="1"/>
  <c r="C22" i="1"/>
  <c r="H21" i="1" s="1"/>
  <c r="V22" i="1"/>
  <c r="U22" i="1" s="1"/>
  <c r="N22" i="1"/>
  <c r="J22" i="1"/>
  <c r="L22" i="1"/>
  <c r="U20" i="1"/>
  <c r="H21" i="2"/>
  <c r="H13" i="2"/>
  <c r="F15" i="2"/>
  <c r="F16" i="2"/>
  <c r="F17" i="2"/>
  <c r="F22" i="1" l="1"/>
  <c r="F21" i="1"/>
  <c r="U21" i="1"/>
  <c r="R21" i="1"/>
  <c r="R22" i="1"/>
</calcChain>
</file>

<file path=xl/sharedStrings.xml><?xml version="1.0" encoding="utf-8"?>
<sst xmlns="http://schemas.openxmlformats.org/spreadsheetml/2006/main" count="508" uniqueCount="143">
  <si>
    <t>Deloitte Resource Evaluation &amp; Advisory</t>
  </si>
  <si>
    <t>Canadian Domestic Forecast</t>
  </si>
  <si>
    <t xml:space="preserve"> </t>
  </si>
  <si>
    <t>Crude Oil Pricing</t>
  </si>
  <si>
    <t>Natural Gas Liquids Pricing</t>
  </si>
  <si>
    <t>Natural Gas Pricing</t>
  </si>
  <si>
    <t>Sulphur</t>
  </si>
  <si>
    <t>Edmonton Par Prices</t>
  </si>
  <si>
    <t>Alberta</t>
  </si>
  <si>
    <t>B.C.</t>
  </si>
  <si>
    <t>WTI at</t>
  </si>
  <si>
    <t>WCS</t>
  </si>
  <si>
    <t>Bow River</t>
  </si>
  <si>
    <t>Heavy Oil</t>
  </si>
  <si>
    <t>Reference</t>
  </si>
  <si>
    <t>AECO</t>
  </si>
  <si>
    <t>Direct</t>
  </si>
  <si>
    <t>NYMEX</t>
  </si>
  <si>
    <t>Cushing</t>
  </si>
  <si>
    <t>Edmonton</t>
  </si>
  <si>
    <t>20.5 Deg. API</t>
  </si>
  <si>
    <t>25 Deg. API</t>
  </si>
  <si>
    <t>12 Deg. API</t>
  </si>
  <si>
    <t>Pentanes +</t>
  </si>
  <si>
    <t>Average</t>
  </si>
  <si>
    <t>Stn. 2</t>
  </si>
  <si>
    <t>Henry</t>
  </si>
  <si>
    <t>Price</t>
  </si>
  <si>
    <t>Cost</t>
  </si>
  <si>
    <t>CAD to USD</t>
  </si>
  <si>
    <t>Oklahoma</t>
  </si>
  <si>
    <t>City Gate</t>
  </si>
  <si>
    <t>Hardisty</t>
  </si>
  <si>
    <t>Ethane</t>
  </si>
  <si>
    <t>Propane</t>
  </si>
  <si>
    <t>Butane</t>
  </si>
  <si>
    <t>Condensate</t>
  </si>
  <si>
    <t>Sales</t>
  </si>
  <si>
    <t>Hub</t>
  </si>
  <si>
    <t>Plant Gate</t>
  </si>
  <si>
    <t>Inflation</t>
  </si>
  <si>
    <t>Exchange</t>
  </si>
  <si>
    <t xml:space="preserve"> US$/bbl</t>
  </si>
  <si>
    <t xml:space="preserve"> C$/bbl</t>
  </si>
  <si>
    <t>C$/bbl</t>
  </si>
  <si>
    <t>C$/mcf</t>
  </si>
  <si>
    <t>US$/Mcf</t>
  </si>
  <si>
    <t>C$/lt</t>
  </si>
  <si>
    <t>Rate</t>
  </si>
  <si>
    <t>Real</t>
  </si>
  <si>
    <t>Current</t>
  </si>
  <si>
    <t>H</t>
  </si>
  <si>
    <t>i</t>
  </si>
  <si>
    <t>s</t>
  </si>
  <si>
    <t>t</t>
  </si>
  <si>
    <t>o</t>
  </si>
  <si>
    <t>r</t>
  </si>
  <si>
    <t>c</t>
  </si>
  <si>
    <t>a</t>
  </si>
  <si>
    <t>l</t>
  </si>
  <si>
    <t>Avg.</t>
  </si>
  <si>
    <t>N/A</t>
  </si>
  <si>
    <t>F</t>
  </si>
  <si>
    <t>e</t>
  </si>
  <si>
    <t>Notes:</t>
  </si>
  <si>
    <t xml:space="preserve"> - NGL prices have been switched from a mix reference to a spec reference</t>
  </si>
  <si>
    <r>
      <t xml:space="preserve">Disclaimer - No representation or warranty of any kind (whether expressed or implied) is given by Deloitte LLP as to the accuracy, completeness, currency or fitness for any purpose of this document.  As such, this document does not constitute the giving of investment advice, nor a part of any advice on investment decisions.  Accordingly, regardless of the form of action, whether in contract, tort or otherwise, and to the extent permitted by applicable law, Deloitte LLP accepts no liability of any kind and disclaims all responsibility for the consequences of any person acting or refraining from acting in reliance on this this price forecast in whole or in part. </t>
    </r>
    <r>
      <rPr>
        <b/>
        <sz val="10"/>
        <rFont val="Arial"/>
        <family val="2"/>
      </rPr>
      <t>This price forecast is not for dissemination in the United States or for distribution to United States wire services.</t>
    </r>
  </si>
  <si>
    <t>Canadian Domestic Forecast - Additional Crude Reference Prices</t>
  </si>
  <si>
    <t>Natural Gas</t>
  </si>
  <si>
    <t>Synbit (AWB)</t>
  </si>
  <si>
    <t>Ontario</t>
  </si>
  <si>
    <t>Lt. Sour</t>
  </si>
  <si>
    <t>MSO</t>
  </si>
  <si>
    <t>70% Bitumen</t>
  </si>
  <si>
    <t>Delivered to</t>
  </si>
  <si>
    <t>Dawn</t>
  </si>
  <si>
    <t>35 Deg. API</t>
  </si>
  <si>
    <t>31 Deg. API</t>
  </si>
  <si>
    <t>30% Cond.</t>
  </si>
  <si>
    <t>Sarnia</t>
  </si>
  <si>
    <t>Cromer, SK</t>
  </si>
  <si>
    <t>21 Deg. API</t>
  </si>
  <si>
    <t>MSW</t>
  </si>
  <si>
    <t>Point</t>
  </si>
  <si>
    <t xml:space="preserve"> International Forecast</t>
  </si>
  <si>
    <t>Real Prices</t>
  </si>
  <si>
    <t>Gulf Coast</t>
  </si>
  <si>
    <t>Alaskan</t>
  </si>
  <si>
    <t>California</t>
  </si>
  <si>
    <t>Louisiana</t>
  </si>
  <si>
    <t>MARS</t>
  </si>
  <si>
    <t>Wyoming</t>
  </si>
  <si>
    <t>Argus Sour</t>
  </si>
  <si>
    <t>WTI</t>
  </si>
  <si>
    <t>North</t>
  </si>
  <si>
    <t>Kern</t>
  </si>
  <si>
    <t>Heavy</t>
  </si>
  <si>
    <t>Light</t>
  </si>
  <si>
    <t>Blend</t>
  </si>
  <si>
    <t>Sweet</t>
  </si>
  <si>
    <t>Brent</t>
  </si>
  <si>
    <t>Crude Index</t>
  </si>
  <si>
    <t>OPEC</t>
  </si>
  <si>
    <t>Venezuelan</t>
  </si>
  <si>
    <t>Nigerian</t>
  </si>
  <si>
    <t>Arabia UAE</t>
  </si>
  <si>
    <t>Mexico</t>
  </si>
  <si>
    <t>Russia</t>
  </si>
  <si>
    <t>Indonesia</t>
  </si>
  <si>
    <t>Spot</t>
  </si>
  <si>
    <t>Slope</t>
  </si>
  <si>
    <t>River</t>
  </si>
  <si>
    <t>ASCI</t>
  </si>
  <si>
    <t>Basket</t>
  </si>
  <si>
    <t>Merey</t>
  </si>
  <si>
    <t>Bonny Light</t>
  </si>
  <si>
    <t>Dubai Feteh</t>
  </si>
  <si>
    <t>Maya</t>
  </si>
  <si>
    <t>Urals</t>
  </si>
  <si>
    <t>Minas</t>
  </si>
  <si>
    <t>US$/bbl</t>
  </si>
  <si>
    <t>Ethanol</t>
  </si>
  <si>
    <t>U.S.</t>
  </si>
  <si>
    <t>Permian</t>
  </si>
  <si>
    <t>San Juan</t>
  </si>
  <si>
    <t>Rocky Mtn.</t>
  </si>
  <si>
    <t>India</t>
  </si>
  <si>
    <t>CBOT</t>
  </si>
  <si>
    <t>USD to GBP</t>
  </si>
  <si>
    <t>USD to EUR</t>
  </si>
  <si>
    <t>Waha</t>
  </si>
  <si>
    <t>Ignacio</t>
  </si>
  <si>
    <t>(onshore)</t>
  </si>
  <si>
    <t>East Texas</t>
  </si>
  <si>
    <t>Opal</t>
  </si>
  <si>
    <t>UK NBP</t>
  </si>
  <si>
    <t>Domestic Gas</t>
  </si>
  <si>
    <t>US$/gal.</t>
  </si>
  <si>
    <t>Escalated Prices</t>
  </si>
  <si>
    <t>Alaska</t>
  </si>
  <si>
    <t>(Onshore)</t>
  </si>
  <si>
    <t>Escalated</t>
  </si>
  <si>
    <t>Disclaimer - No representation or warranty of any kind (whether expressed or implied) is given by Deloitte &amp; Touche LLP as to the accuracy, completeness, currency or fitness for any purpose of this document.  As such, this document does not constitute the giving of investment advice, nor a part of any advice on investment decisions.  Accordingly, regardless of the form of action, whether in contract, tort or otherwise, and to the extent permitted by applicable law, Deloitte &amp; Touche LLP  accepts no liability of any kind and disclaims all responsibility for the consequences of any person acting or refraining from acting in reliance on this this price forecast in whole or in part. This price forecast is not for dissemination in the United States or for distribution to United States wire services.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</si>
</sst>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7" formatCode="&quot;$&quot;#,##0.00_);\(&quot;$&quot;#,##0.00\)"/>
    <numFmt numFmtId="8" formatCode="&quot;$&quot;#,##0.00_);[Red]\(&quot;$&quot;#,##0.00\)"/>
    <numFmt numFmtId="164" formatCode="0.0%"/>
    <numFmt numFmtId="165" formatCode="&quot;$&quot;#,##0.00;[Red]\-&quot;$&quot;#,##0.00"/>
    <numFmt numFmtId="166" formatCode="0.000"/>
    <numFmt numFmtId="167" formatCode="&quot;$&quot;#,##0.00;\-&quot;$&quot;#,##0.00"/>
    <numFmt numFmtId="168" formatCode="&quot;$&quot;#,##0.00"/>
  </numFmts>
  <fonts count="3" x14ac:knownFonts="1">
    <font>
      <sz val="10"/>
      <color theme="1"/>
      <name val="Arial"/>
      <family val="2"/>
    </font>
    <font>
      <b/>
      <sz val="10"/>
      <name val="Arial"/>
      <family val="2"/>
    </font>
    <font>
      <sz val="10"/>
      <name val="Arial"/>
      <family val="2"/>
    </font>
  </fonts>
  <fills count="3">
    <fill>
      <patternFill patternType="none"/>
    </fill>
    <fill>
      <patternFill patternType="gray125"/>
    </fill>
    <fill>
      <patternFill patternType="solid">
        <fgColor theme="0" tint="-4.9989318521683403E-2"/>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diagonal/>
    </border>
    <border>
      <left style="thin">
        <color indexed="64"/>
      </left>
      <right style="thin">
        <color indexed="64"/>
      </right>
      <top style="thin">
        <color indexed="64"/>
      </top>
      <bottom/>
      <diagonal/>
    </border>
  </borders>
  <cellStyleXfs count="1">
    <xf numFmtId="0" fontId="0" fillId="0" borderId="0"/>
  </cellStyleXfs>
  <cellXfs count="122">
    <xf numFmtId="0" fontId="0" fillId="0" borderId="0" xfId="0"/>
    <xf numFmtId="0" fontId="0" fillId="0" borderId="0" xfId="0" applyFont="1" applyAlignment="1"/>
    <xf numFmtId="164" fontId="0" fillId="0" borderId="0" xfId="0" applyNumberFormat="1" applyFont="1" applyAlignment="1">
      <alignment horizontal="center"/>
    </xf>
    <xf numFmtId="0" fontId="0" fillId="0" borderId="0" xfId="0" applyFont="1" applyAlignment="1">
      <alignment horizontal="center"/>
    </xf>
    <xf numFmtId="0" fontId="0" fillId="0" borderId="0" xfId="0" applyAlignment="1"/>
    <xf numFmtId="165" fontId="0" fillId="0" borderId="0" xfId="0" applyNumberFormat="1" applyFont="1" applyAlignment="1">
      <alignment horizontal="center"/>
    </xf>
    <xf numFmtId="0" fontId="0" fillId="0" borderId="1" xfId="0" applyFont="1" applyBorder="1"/>
    <xf numFmtId="0" fontId="0" fillId="0" borderId="2" xfId="0" applyFont="1" applyBorder="1"/>
    <xf numFmtId="164" fontId="0" fillId="0" borderId="2" xfId="0" applyNumberFormat="1" applyFont="1" applyBorder="1" applyAlignment="1">
      <alignment horizontal="center"/>
    </xf>
    <xf numFmtId="0" fontId="0" fillId="0" borderId="3" xfId="0" applyFont="1" applyBorder="1" applyAlignment="1">
      <alignment horizontal="center"/>
    </xf>
    <xf numFmtId="0" fontId="1" fillId="0" borderId="3" xfId="0" applyFont="1" applyBorder="1" applyAlignment="1">
      <alignment horizontal="center"/>
    </xf>
    <xf numFmtId="0" fontId="0" fillId="0" borderId="4" xfId="0" applyFont="1" applyBorder="1"/>
    <xf numFmtId="0" fontId="0" fillId="0" borderId="0" xfId="0" applyFont="1" applyBorder="1"/>
    <xf numFmtId="164" fontId="0" fillId="0" borderId="0" xfId="0" applyNumberFormat="1" applyFont="1" applyBorder="1" applyAlignment="1">
      <alignment horizontal="center"/>
    </xf>
    <xf numFmtId="0" fontId="0" fillId="0" borderId="5" xfId="0" applyFont="1" applyBorder="1" applyAlignment="1">
      <alignment horizontal="center"/>
    </xf>
    <xf numFmtId="0" fontId="1" fillId="0" borderId="4" xfId="0" applyFont="1" applyBorder="1" applyAlignment="1">
      <alignment horizontal="center"/>
    </xf>
    <xf numFmtId="0" fontId="1" fillId="0" borderId="0" xfId="0" applyFont="1" applyBorder="1" applyAlignment="1">
      <alignment horizontal="center"/>
    </xf>
    <xf numFmtId="165" fontId="0" fillId="0" borderId="0" xfId="0" applyNumberFormat="1" applyFont="1" applyBorder="1" applyAlignment="1">
      <alignment horizontal="center"/>
    </xf>
    <xf numFmtId="0" fontId="1" fillId="0" borderId="5" xfId="0" applyFont="1" applyBorder="1" applyAlignment="1">
      <alignment horizontal="center"/>
    </xf>
    <xf numFmtId="165" fontId="1" fillId="0" borderId="0" xfId="0" applyNumberFormat="1" applyFont="1" applyBorder="1" applyAlignment="1">
      <alignment horizontal="center"/>
    </xf>
    <xf numFmtId="2" fontId="1" fillId="0" borderId="0" xfId="0" applyNumberFormat="1" applyFont="1" applyBorder="1" applyAlignment="1">
      <alignment horizontal="center"/>
    </xf>
    <xf numFmtId="2" fontId="1" fillId="0" borderId="5" xfId="0" applyNumberFormat="1" applyFont="1" applyBorder="1" applyAlignment="1">
      <alignment horizontal="center"/>
    </xf>
    <xf numFmtId="0" fontId="1" fillId="0" borderId="0" xfId="0" applyFont="1" applyFill="1" applyBorder="1" applyAlignment="1">
      <alignment horizontal="center"/>
    </xf>
    <xf numFmtId="0" fontId="0" fillId="0" borderId="6" xfId="0" applyFont="1" applyBorder="1"/>
    <xf numFmtId="0" fontId="0" fillId="0" borderId="7" xfId="0" applyFont="1" applyBorder="1"/>
    <xf numFmtId="164" fontId="1" fillId="0" borderId="7" xfId="0" applyNumberFormat="1" applyFont="1" applyBorder="1" applyAlignment="1">
      <alignment horizontal="center"/>
    </xf>
    <xf numFmtId="7" fontId="1" fillId="0" borderId="8" xfId="0" applyNumberFormat="1"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165" fontId="1" fillId="0" borderId="7" xfId="0" applyNumberFormat="1" applyFont="1" applyBorder="1" applyAlignment="1">
      <alignment horizontal="center"/>
    </xf>
    <xf numFmtId="0" fontId="1" fillId="0" borderId="8" xfId="0" applyFont="1" applyBorder="1" applyAlignment="1">
      <alignment horizontal="center"/>
    </xf>
    <xf numFmtId="166" fontId="0" fillId="0" borderId="0" xfId="0" applyNumberFormat="1" applyFont="1" applyBorder="1" applyAlignment="1">
      <alignment horizontal="center"/>
    </xf>
    <xf numFmtId="165" fontId="0" fillId="0" borderId="4" xfId="0" applyNumberFormat="1" applyFont="1" applyBorder="1" applyAlignment="1">
      <alignment horizontal="center"/>
    </xf>
    <xf numFmtId="165" fontId="0" fillId="0" borderId="2" xfId="0" applyNumberFormat="1" applyFont="1" applyBorder="1" applyAlignment="1">
      <alignment horizontal="center"/>
    </xf>
    <xf numFmtId="167" fontId="0" fillId="0" borderId="4" xfId="0" applyNumberFormat="1" applyFont="1" applyBorder="1" applyAlignment="1">
      <alignment horizontal="center"/>
    </xf>
    <xf numFmtId="167" fontId="0" fillId="0" borderId="0" xfId="0" applyNumberFormat="1" applyFont="1" applyBorder="1" applyAlignment="1">
      <alignment horizontal="center"/>
    </xf>
    <xf numFmtId="167" fontId="0" fillId="0" borderId="5" xfId="0" applyNumberFormat="1" applyFont="1" applyBorder="1" applyAlignment="1">
      <alignment horizontal="center"/>
    </xf>
    <xf numFmtId="7" fontId="0" fillId="0" borderId="0" xfId="0" applyNumberFormat="1" applyFont="1" applyBorder="1" applyAlignment="1">
      <alignment horizontal="center"/>
    </xf>
    <xf numFmtId="7" fontId="0" fillId="0" borderId="5" xfId="0" applyNumberFormat="1" applyFont="1" applyBorder="1" applyAlignment="1">
      <alignment horizontal="center"/>
    </xf>
    <xf numFmtId="166" fontId="0" fillId="0" borderId="5" xfId="0" applyNumberFormat="1" applyFont="1" applyBorder="1" applyAlignment="1">
      <alignment horizontal="center"/>
    </xf>
    <xf numFmtId="7" fontId="0" fillId="0" borderId="9" xfId="0" applyNumberFormat="1" applyFont="1" applyBorder="1" applyAlignment="1">
      <alignment horizontal="center"/>
    </xf>
    <xf numFmtId="165" fontId="0" fillId="0" borderId="0" xfId="0" applyNumberFormat="1" applyFont="1" applyFill="1"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164" fontId="0" fillId="0" borderId="11" xfId="0" applyNumberFormat="1" applyFont="1" applyBorder="1" applyAlignment="1">
      <alignment horizontal="center"/>
    </xf>
    <xf numFmtId="166" fontId="0" fillId="0" borderId="12" xfId="0" applyNumberFormat="1" applyFont="1" applyBorder="1" applyAlignment="1">
      <alignment horizontal="center"/>
    </xf>
    <xf numFmtId="165" fontId="0" fillId="0" borderId="10" xfId="0" applyNumberFormat="1" applyFont="1" applyBorder="1" applyAlignment="1">
      <alignment horizontal="center"/>
    </xf>
    <xf numFmtId="165" fontId="0" fillId="0" borderId="11" xfId="0" applyNumberFormat="1" applyFont="1" applyBorder="1" applyAlignment="1">
      <alignment horizontal="center"/>
    </xf>
    <xf numFmtId="167" fontId="0" fillId="0" borderId="10" xfId="0" applyNumberFormat="1" applyFont="1" applyBorder="1" applyAlignment="1">
      <alignment horizontal="center"/>
    </xf>
    <xf numFmtId="167" fontId="0" fillId="0" borderId="11" xfId="0" applyNumberFormat="1" applyFont="1" applyBorder="1" applyAlignment="1">
      <alignment horizontal="center"/>
    </xf>
    <xf numFmtId="167" fontId="0" fillId="0" borderId="12" xfId="0" applyNumberFormat="1" applyFont="1" applyBorder="1" applyAlignment="1">
      <alignment horizontal="center"/>
    </xf>
    <xf numFmtId="7" fontId="0" fillId="0" borderId="11" xfId="0" applyNumberFormat="1" applyFont="1" applyBorder="1" applyAlignment="1">
      <alignment horizontal="center"/>
    </xf>
    <xf numFmtId="7" fontId="0" fillId="0" borderId="12" xfId="0" applyNumberFormat="1" applyFont="1" applyBorder="1" applyAlignment="1">
      <alignment horizontal="center"/>
    </xf>
    <xf numFmtId="0" fontId="0" fillId="0" borderId="0" xfId="0" applyFont="1"/>
    <xf numFmtId="0" fontId="0" fillId="0" borderId="9" xfId="0" applyFont="1" applyBorder="1"/>
    <xf numFmtId="165" fontId="0" fillId="0" borderId="12" xfId="0" applyNumberFormat="1" applyFont="1" applyBorder="1" applyAlignment="1">
      <alignment horizontal="center"/>
    </xf>
    <xf numFmtId="7" fontId="0" fillId="0" borderId="10" xfId="0" applyNumberFormat="1" applyFont="1" applyBorder="1" applyAlignment="1">
      <alignment horizontal="center"/>
    </xf>
    <xf numFmtId="165" fontId="0" fillId="0" borderId="13" xfId="0" applyNumberFormat="1" applyFont="1" applyBorder="1" applyAlignment="1">
      <alignment horizontal="center"/>
    </xf>
    <xf numFmtId="164" fontId="0" fillId="0" borderId="7" xfId="0" applyNumberFormat="1" applyFont="1" applyBorder="1" applyAlignment="1">
      <alignment horizontal="center"/>
    </xf>
    <xf numFmtId="166" fontId="0" fillId="0" borderId="8" xfId="0" applyNumberFormat="1" applyFont="1" applyBorder="1" applyAlignment="1">
      <alignment horizontal="center"/>
    </xf>
    <xf numFmtId="164" fontId="0" fillId="0" borderId="6" xfId="0" applyNumberFormat="1" applyFont="1" applyBorder="1" applyAlignment="1">
      <alignment horizontal="center"/>
    </xf>
    <xf numFmtId="164" fontId="0" fillId="0" borderId="8" xfId="0" applyNumberFormat="1" applyFont="1" applyBorder="1" applyAlignment="1">
      <alignment horizontal="center"/>
    </xf>
    <xf numFmtId="164" fontId="0" fillId="0" borderId="14" xfId="0" applyNumberFormat="1" applyFont="1" applyBorder="1" applyAlignment="1">
      <alignment horizontal="center"/>
    </xf>
    <xf numFmtId="164" fontId="0" fillId="0" borderId="0" xfId="0" applyNumberFormat="1" applyFont="1" applyAlignment="1">
      <alignment horizontal="left"/>
    </xf>
    <xf numFmtId="0" fontId="1" fillId="0" borderId="0" xfId="0" applyFont="1"/>
    <xf numFmtId="164" fontId="0" fillId="0" borderId="0" xfId="0" quotePrefix="1" applyNumberFormat="1" applyFont="1" applyAlignment="1">
      <alignment horizontal="left"/>
    </xf>
    <xf numFmtId="0" fontId="0" fillId="0" borderId="0" xfId="0" applyFont="1" applyAlignment="1">
      <alignment horizontal="right"/>
    </xf>
    <xf numFmtId="0" fontId="1" fillId="0" borderId="1" xfId="0" applyFont="1" applyBorder="1" applyAlignment="1"/>
    <xf numFmtId="0" fontId="1" fillId="0" borderId="2" xfId="0" applyFont="1" applyBorder="1" applyAlignment="1"/>
    <xf numFmtId="0" fontId="1" fillId="0" borderId="3" xfId="0" applyFont="1" applyBorder="1" applyAlignment="1"/>
    <xf numFmtId="0" fontId="1" fillId="0" borderId="0" xfId="0" applyFont="1" applyBorder="1" applyAlignment="1"/>
    <xf numFmtId="0" fontId="1" fillId="0" borderId="5" xfId="0" applyFont="1" applyBorder="1" applyAlignment="1"/>
    <xf numFmtId="165" fontId="0" fillId="0" borderId="15" xfId="0" applyNumberFormat="1" applyFont="1" applyBorder="1" applyAlignment="1">
      <alignment horizontal="center"/>
    </xf>
    <xf numFmtId="0" fontId="1" fillId="0" borderId="0" xfId="0" applyFont="1" applyAlignment="1"/>
    <xf numFmtId="0" fontId="0" fillId="0" borderId="3" xfId="0" applyFont="1" applyBorder="1"/>
    <xf numFmtId="0" fontId="0" fillId="0" borderId="5" xfId="0" applyFont="1" applyBorder="1"/>
    <xf numFmtId="168" fontId="1" fillId="0" borderId="0" xfId="0" applyNumberFormat="1" applyFont="1" applyAlignment="1">
      <alignment horizontal="center"/>
    </xf>
    <xf numFmtId="0" fontId="1" fillId="0" borderId="0" xfId="0" applyFont="1" applyBorder="1" applyAlignment="1">
      <alignment horizontal="left"/>
    </xf>
    <xf numFmtId="168" fontId="1" fillId="0" borderId="4" xfId="0" applyNumberFormat="1" applyFont="1" applyBorder="1" applyAlignment="1">
      <alignment horizontal="center"/>
    </xf>
    <xf numFmtId="168" fontId="1" fillId="0" borderId="0" xfId="0" applyNumberFormat="1" applyFont="1" applyFill="1" applyBorder="1" applyAlignment="1">
      <alignment horizontal="center"/>
    </xf>
    <xf numFmtId="168" fontId="1" fillId="0" borderId="5" xfId="0" applyNumberFormat="1" applyFont="1" applyBorder="1" applyAlignment="1">
      <alignment horizontal="center"/>
    </xf>
    <xf numFmtId="0" fontId="0" fillId="0" borderId="8" xfId="0" applyFont="1" applyBorder="1"/>
    <xf numFmtId="168" fontId="1" fillId="0" borderId="6" xfId="0" applyNumberFormat="1" applyFont="1" applyBorder="1" applyAlignment="1">
      <alignment horizontal="center"/>
    </xf>
    <xf numFmtId="168" fontId="1" fillId="0" borderId="7" xfId="0" applyNumberFormat="1" applyFont="1" applyBorder="1" applyAlignment="1">
      <alignment horizontal="center"/>
    </xf>
    <xf numFmtId="168" fontId="1" fillId="0" borderId="8" xfId="0" applyNumberFormat="1" applyFont="1" applyBorder="1" applyAlignment="1">
      <alignment horizontal="center"/>
    </xf>
    <xf numFmtId="165" fontId="0" fillId="0" borderId="5" xfId="0" applyNumberFormat="1" applyFont="1" applyBorder="1" applyAlignment="1">
      <alignment horizontal="center"/>
    </xf>
    <xf numFmtId="0" fontId="0" fillId="0" borderId="2" xfId="0" applyFont="1" applyBorder="1" applyAlignment="1">
      <alignment horizontal="center"/>
    </xf>
    <xf numFmtId="165" fontId="1" fillId="0" borderId="16" xfId="0" applyNumberFormat="1" applyFont="1" applyBorder="1" applyAlignment="1">
      <alignment horizontal="center"/>
    </xf>
    <xf numFmtId="0" fontId="0" fillId="0" borderId="0" xfId="0" applyFont="1" applyBorder="1" applyAlignment="1">
      <alignment horizontal="center"/>
    </xf>
    <xf numFmtId="0" fontId="1" fillId="0" borderId="9" xfId="0" applyFont="1" applyBorder="1" applyAlignment="1">
      <alignment horizontal="center"/>
    </xf>
    <xf numFmtId="2" fontId="1" fillId="0" borderId="4" xfId="0" applyNumberFormat="1" applyFont="1" applyBorder="1" applyAlignment="1">
      <alignment horizontal="center"/>
    </xf>
    <xf numFmtId="2" fontId="1" fillId="0" borderId="6" xfId="0" applyNumberFormat="1" applyFont="1" applyBorder="1" applyAlignment="1">
      <alignment horizontal="center"/>
    </xf>
    <xf numFmtId="2" fontId="1" fillId="0" borderId="7" xfId="0" applyNumberFormat="1" applyFont="1" applyBorder="1" applyAlignment="1">
      <alignment horizontal="center"/>
    </xf>
    <xf numFmtId="0" fontId="1" fillId="0" borderId="14" xfId="0" applyFont="1" applyBorder="1" applyAlignment="1">
      <alignment horizontal="center"/>
    </xf>
    <xf numFmtId="7" fontId="0" fillId="0" borderId="4" xfId="0" applyNumberFormat="1" applyFont="1" applyBorder="1" applyAlignment="1">
      <alignment horizontal="center"/>
    </xf>
    <xf numFmtId="166" fontId="0" fillId="0" borderId="7" xfId="0" applyNumberFormat="1" applyFont="1" applyBorder="1" applyAlignment="1">
      <alignment horizontal="center"/>
    </xf>
    <xf numFmtId="0" fontId="0" fillId="0" borderId="0" xfId="0" applyFont="1" applyAlignment="1">
      <alignment horizontal="left"/>
    </xf>
    <xf numFmtId="0" fontId="0" fillId="0" borderId="0" xfId="0" applyFont="1" applyFill="1" applyAlignment="1">
      <alignment vertical="top" wrapText="1"/>
    </xf>
    <xf numFmtId="0" fontId="0" fillId="0" borderId="0" xfId="0" applyFill="1"/>
    <xf numFmtId="0" fontId="0" fillId="0" borderId="0" xfId="0" applyFont="1" applyFill="1"/>
    <xf numFmtId="166" fontId="0" fillId="0" borderId="4" xfId="0" applyNumberFormat="1" applyFont="1" applyBorder="1" applyAlignment="1">
      <alignment horizontal="center"/>
    </xf>
    <xf numFmtId="8" fontId="0" fillId="0" borderId="0" xfId="0" applyNumberFormat="1" applyFont="1" applyAlignment="1">
      <alignment horizontal="center"/>
    </xf>
    <xf numFmtId="8" fontId="0" fillId="0" borderId="5" xfId="0" applyNumberFormat="1" applyFont="1" applyBorder="1" applyAlignment="1">
      <alignment horizontal="center"/>
    </xf>
    <xf numFmtId="8" fontId="0" fillId="0" borderId="9" xfId="0" applyNumberFormat="1" applyFont="1" applyBorder="1" applyAlignment="1">
      <alignment horizontal="center"/>
    </xf>
    <xf numFmtId="166" fontId="0" fillId="0" borderId="6" xfId="0" applyNumberFormat="1" applyFont="1" applyBorder="1" applyAlignment="1">
      <alignment horizontal="center"/>
    </xf>
    <xf numFmtId="165" fontId="0" fillId="0" borderId="7" xfId="0" applyNumberFormat="1" applyFont="1" applyBorder="1" applyAlignment="1">
      <alignment horizontal="center"/>
    </xf>
    <xf numFmtId="8" fontId="0" fillId="0" borderId="7" xfId="0" applyNumberFormat="1" applyFont="1" applyBorder="1" applyAlignment="1">
      <alignment horizontal="center"/>
    </xf>
    <xf numFmtId="8" fontId="0" fillId="0" borderId="8" xfId="0" applyNumberFormat="1" applyFont="1" applyBorder="1" applyAlignment="1">
      <alignment horizontal="center"/>
    </xf>
    <xf numFmtId="10" fontId="0" fillId="0" borderId="7" xfId="0" applyNumberFormat="1" applyFont="1" applyBorder="1" applyAlignment="1">
      <alignment horizontal="center"/>
    </xf>
    <xf numFmtId="10" fontId="0" fillId="0" borderId="8" xfId="0" applyNumberFormat="1" applyFont="1" applyBorder="1" applyAlignment="1">
      <alignment horizontal="center"/>
    </xf>
    <xf numFmtId="0" fontId="2" fillId="0" borderId="0" xfId="0" applyFont="1" applyBorder="1" applyAlignment="1">
      <alignment horizontal="left"/>
    </xf>
    <xf numFmtId="166" fontId="0" fillId="0" borderId="0" xfId="0" applyNumberFormat="1" applyFont="1" applyBorder="1" applyAlignment="1">
      <alignment horizontal="left"/>
    </xf>
    <xf numFmtId="0" fontId="0" fillId="0" borderId="0" xfId="0" applyBorder="1"/>
    <xf numFmtId="0" fontId="1" fillId="0" borderId="4" xfId="0" applyFont="1" applyBorder="1" applyAlignment="1">
      <alignment horizontal="left"/>
    </xf>
    <xf numFmtId="0" fontId="1" fillId="0" borderId="0" xfId="0" applyFont="1" applyBorder="1" applyAlignment="1">
      <alignment horizontal="left"/>
    </xf>
    <xf numFmtId="0" fontId="1" fillId="0" borderId="5" xfId="0" applyFont="1" applyBorder="1" applyAlignment="1">
      <alignment horizontal="left"/>
    </xf>
    <xf numFmtId="0" fontId="0" fillId="2" borderId="0" xfId="0" applyFont="1" applyFill="1" applyAlignment="1">
      <alignment horizontal="left" vertical="center" wrapText="1"/>
    </xf>
    <xf numFmtId="0" fontId="1" fillId="0" borderId="0" xfId="0" applyFont="1" applyAlignment="1">
      <alignment horizontal="center"/>
    </xf>
    <xf numFmtId="0" fontId="1" fillId="0" borderId="1" xfId="0" applyFont="1" applyBorder="1" applyAlignment="1">
      <alignment horizontal="left"/>
    </xf>
    <xf numFmtId="0" fontId="1" fillId="0" borderId="2" xfId="0" applyFont="1" applyBorder="1" applyAlignment="1">
      <alignment horizontal="left"/>
    </xf>
    <xf numFmtId="0" fontId="1" fillId="0" borderId="3" xfId="0" applyFont="1" applyBorder="1" applyAlignment="1">
      <alignment horizontal="left"/>
    </xf>
    <xf numFmtId="0" fontId="0" fillId="2"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20</xdr:col>
      <xdr:colOff>114300</xdr:colOff>
      <xdr:row>52</xdr:row>
      <xdr:rowOff>19050</xdr:rowOff>
    </xdr:from>
    <xdr:to>
      <xdr:col>23</xdr:col>
      <xdr:colOff>0</xdr:colOff>
      <xdr:row>54</xdr:row>
      <xdr:rowOff>47625</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3025" y="8458200"/>
          <a:ext cx="16954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714375</xdr:colOff>
      <xdr:row>52</xdr:row>
      <xdr:rowOff>9525</xdr:rowOff>
    </xdr:from>
    <xdr:to>
      <xdr:col>17</xdr:col>
      <xdr:colOff>0</xdr:colOff>
      <xdr:row>54</xdr:row>
      <xdr:rowOff>38100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77475" y="8448675"/>
          <a:ext cx="16954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15</xdr:col>
      <xdr:colOff>28575</xdr:colOff>
      <xdr:row>62</xdr:row>
      <xdr:rowOff>9525</xdr:rowOff>
    </xdr:from>
    <xdr:to>
      <xdr:col>18</xdr:col>
      <xdr:colOff>0</xdr:colOff>
      <xdr:row>64</xdr:row>
      <xdr:rowOff>38100</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639425" y="10048875"/>
          <a:ext cx="1695450" cy="352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15</xdr:col>
      <xdr:colOff>542096</xdr:colOff>
      <xdr:row>45</xdr:row>
      <xdr:rowOff>136900</xdr:rowOff>
    </xdr:from>
    <xdr:to>
      <xdr:col>18</xdr:col>
      <xdr:colOff>828</xdr:colOff>
      <xdr:row>48</xdr:row>
      <xdr:rowOff>1183</xdr:rowOff>
    </xdr:to>
    <xdr:pic>
      <xdr:nvPicPr>
        <xdr:cNvPr id="2"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419521" y="7423525"/>
          <a:ext cx="1697107" cy="3500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G:\NORPAC\GASACCT\2003\0310\0310Wesc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reference_drive/Pricing%20Data/AJM%20Pricing%20Reference%20Data/Deloitte%202016%2012%2031%20Price%20Forecast%20Work%20Area/3.%20Output%20Tables%20-%202016%2012%203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WCP"/>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Page"/>
      <sheetName val="Deloitte Summary Domestic"/>
      <sheetName val="Deloitte Summary Add. Crudes"/>
      <sheetName val="Deloitte Summary International"/>
      <sheetName val="Deloitte International Esc"/>
      <sheetName val="Deloitte Forecast Input Real"/>
      <sheetName val="Deloitte Forecast Input Esc"/>
      <sheetName val="Deloitte Prior Input Real"/>
      <sheetName val="Deloitte Prior Input Esc"/>
      <sheetName val="Historical Yearly Input"/>
      <sheetName val="Historical Monthly Input"/>
      <sheetName val="Pricing Philosophy"/>
      <sheetName val="Current Forecast Assumptions"/>
      <sheetName val="Price Review - Cdn Oil"/>
      <sheetName val="Price Review - Int Oil"/>
      <sheetName val="Price Review - Cdn Gas"/>
      <sheetName val="Price Review - Int Gas"/>
      <sheetName val="Price Review - Cdn NGLs"/>
      <sheetName val="Price Review - Sulphur"/>
      <sheetName val="Price Review - Potash"/>
      <sheetName val="Price Review - Ethanol"/>
      <sheetName val="Graph Data Cdn Oil"/>
      <sheetName val="Graph Data WTI Oil"/>
      <sheetName val="Graph Data Oil Int"/>
      <sheetName val="Graph Data Cdn Gas"/>
      <sheetName val="Graph Data Gas Int"/>
      <sheetName val="Graph Data NGLs"/>
      <sheetName val="Summary Domestic (FR)"/>
      <sheetName val="Summary Add. Crude (FR)"/>
      <sheetName val="Summary International (FR)"/>
      <sheetName val="Summary International Esc (FR)"/>
      <sheetName val="Graph Data Sulphur"/>
    </sheetNames>
    <sheetDataSet>
      <sheetData sheetId="0">
        <row r="4">
          <cell r="D4">
            <v>42735</v>
          </cell>
        </row>
        <row r="5">
          <cell r="D5">
            <v>42643</v>
          </cell>
        </row>
        <row r="10">
          <cell r="C10" t="str">
            <v xml:space="preserve"> - All prices are in Canadian dollars except WTI and NYMEX gas which are in U.S. dollars</v>
          </cell>
        </row>
        <row r="11">
          <cell r="C11" t="str">
            <v xml:space="preserve"> - Edmonton city gate prices based on historical light oil par prices posted by the government of Alberta and Net Energy differential futures (40 Deg. API &lt; 0.5% Sulphur)</v>
          </cell>
        </row>
        <row r="12">
          <cell r="C12" t="str">
            <v xml:space="preserve"> - Natural Gas Liquid prices are forecasted at Edmonton therefore an additional transportation cost must be included to plant gate sales point</v>
          </cell>
        </row>
        <row r="13">
          <cell r="C13" t="str">
            <v xml:space="preserve"> - 1 Mcf is equivalent to 1 mmbtu</v>
          </cell>
        </row>
        <row r="14">
          <cell r="C14" t="str">
            <v xml:space="preserve"> - Real prices listed in 2016 dollars with no escalation considered</v>
          </cell>
        </row>
        <row r="15">
          <cell r="C15" t="str">
            <v xml:space="preserve"> - Alberta gas prices, except AECO, include an average cost of service to the plant gate</v>
          </cell>
        </row>
        <row r="18">
          <cell r="C18" t="str">
            <v xml:space="preserve"> - All prices are in Canadian dollars except WTI and NYMEX gas which are in U.S. dollars</v>
          </cell>
        </row>
        <row r="19">
          <cell r="C19" t="str">
            <v xml:space="preserve"> - Edmonton city gate prices based on historical light oil par prices posted by the government of Alberta and Net Energy differential futures (40 Deg. API &lt; 0.5% Sulphur)</v>
          </cell>
        </row>
        <row r="20">
          <cell r="C20" t="str">
            <v xml:space="preserve"> - 1 Mcf is equivalent to 1 mmbtu</v>
          </cell>
        </row>
        <row r="21">
          <cell r="C21" t="str">
            <v xml:space="preserve"> - Real prices listed in 2016 dollars with no escalation considered</v>
          </cell>
        </row>
        <row r="22">
          <cell r="C22" t="str">
            <v xml:space="preserve"> ‐ Sarnia price is Edmonton Sweet (MSW) delivered to Sarnia, Ontario</v>
          </cell>
        </row>
        <row r="23">
          <cell r="C23" t="str">
            <v xml:space="preserve"> ‐ Synbit is a combined bitumin (70%) and Condensate (30%) stream equivelent to the Acces Western Blend (AWB).</v>
          </cell>
        </row>
        <row r="26">
          <cell r="C26" t="str">
            <v>Venezuelan Merey replaced BCF-17 in the OPEC basket March 1, 2009.</v>
          </cell>
        </row>
      </sheetData>
      <sheetData sheetId="1"/>
      <sheetData sheetId="2"/>
      <sheetData sheetId="3"/>
      <sheetData sheetId="4"/>
      <sheetData sheetId="5">
        <row r="2">
          <cell r="A2">
            <v>42735</v>
          </cell>
          <cell r="C2" t="str">
            <v>Canadian Dollar</v>
          </cell>
          <cell r="D2" t="str">
            <v>Euro</v>
          </cell>
          <cell r="E2" t="str">
            <v>British Pound</v>
          </cell>
          <cell r="F2" t="str">
            <v>Price Inflation</v>
          </cell>
          <cell r="G2" t="str">
            <v>WTI</v>
          </cell>
          <cell r="H2" t="str">
            <v>WTI Cdn</v>
          </cell>
          <cell r="I2" t="str">
            <v>NYMEX Henry Hub</v>
          </cell>
          <cell r="J2" t="str">
            <v>NYMEX Henry Hub Cdn</v>
          </cell>
          <cell r="K2" t="str">
            <v>Edmonton Light</v>
          </cell>
          <cell r="L2" t="str">
            <v>Hardisty MSO</v>
          </cell>
          <cell r="M2" t="str">
            <v>Hardisty Bow River</v>
          </cell>
          <cell r="N2" t="str">
            <v>Hardisty WCS</v>
          </cell>
          <cell r="O2" t="str">
            <v>Hardisty Heavy</v>
          </cell>
          <cell r="P2" t="str">
            <v>Cromer Light</v>
          </cell>
          <cell r="Q2" t="str">
            <v>Sarnia Refinery</v>
          </cell>
          <cell r="R2" t="str">
            <v>Synbit AWB</v>
          </cell>
          <cell r="S2" t="str">
            <v>AECO-C Spot</v>
          </cell>
          <cell r="T2" t="str">
            <v>Alberta Gas Reference</v>
          </cell>
          <cell r="U2" t="str">
            <v>BC Westcoast Station 2</v>
          </cell>
          <cell r="V2" t="str">
            <v>Ontario Dawn</v>
          </cell>
          <cell r="W2" t="str">
            <v>Ethane FOB Edmonton</v>
          </cell>
          <cell r="X2" t="str">
            <v>Propane FOB Edmonton</v>
          </cell>
          <cell r="Y2" t="str">
            <v>Butane FOB Edmonton</v>
          </cell>
          <cell r="Z2" t="str">
            <v>Condensate FOB Edmonton</v>
          </cell>
          <cell r="AA2" t="str">
            <v>NGL</v>
          </cell>
          <cell r="AB2" t="str">
            <v>Ethane US</v>
          </cell>
          <cell r="AC2" t="str">
            <v>Propane US</v>
          </cell>
          <cell r="AD2" t="str">
            <v>Butane US</v>
          </cell>
          <cell r="AE2" t="str">
            <v>Condensate US</v>
          </cell>
          <cell r="AF2" t="str">
            <v>NGL US</v>
          </cell>
          <cell r="AG2" t="str">
            <v>WTI Royalty Price</v>
          </cell>
          <cell r="AH2" t="str">
            <v>AB Par Price (Light Oil)</v>
          </cell>
          <cell r="AI2" t="str">
            <v>AB Par Price (Medium Oil)</v>
          </cell>
          <cell r="AJ2" t="str">
            <v>AB Par Price (Heavy Oil)</v>
          </cell>
          <cell r="AK2" t="str">
            <v>AB Par Price (Ultra Heavy Oil)</v>
          </cell>
          <cell r="AL2" t="str">
            <v>Ethane Reference Price</v>
          </cell>
          <cell r="AM2" t="str">
            <v>Propane Reference Price</v>
          </cell>
          <cell r="AN2" t="str">
            <v>Butane Reference Price</v>
          </cell>
          <cell r="AO2" t="str">
            <v>Pentane+ Reference Price</v>
          </cell>
          <cell r="AP2" t="str">
            <v>Methane ISC Reference</v>
          </cell>
          <cell r="AQ2" t="str">
            <v>Ethane ISC Reference</v>
          </cell>
          <cell r="AR2" t="str">
            <v>Propane ISC Reference</v>
          </cell>
          <cell r="AS2" t="str">
            <v>Butane ISC Reference</v>
          </cell>
          <cell r="AT2" t="str">
            <v>Pentane+ ISC Reference</v>
          </cell>
          <cell r="AU2" t="str">
            <v>Ethane Par Price</v>
          </cell>
          <cell r="AV2" t="str">
            <v>Pentane+ Par Price</v>
          </cell>
          <cell r="AW2" t="str">
            <v>AB Transportation Adjustment (C1)</v>
          </cell>
          <cell r="AX2" t="str">
            <v>AB Transportation Adjustment (C2)</v>
          </cell>
          <cell r="AY2" t="str">
            <v>AB Transportation Adjustment (C3)</v>
          </cell>
          <cell r="AZ2" t="str">
            <v>AB Transportation Adjustment (C4)</v>
          </cell>
          <cell r="BA2" t="str">
            <v>AB Transportation Adjustment (C5+)</v>
          </cell>
          <cell r="BB2" t="str">
            <v>BC Threshold (Third Tier Oil)</v>
          </cell>
          <cell r="BC2" t="str">
            <v>BC Threshold (Heavy Oil)</v>
          </cell>
          <cell r="BD2" t="str">
            <v>BC Select Price (Gas)</v>
          </cell>
          <cell r="BE2" t="str">
            <v>BC PMP Group 1</v>
          </cell>
          <cell r="BF2" t="str">
            <v>BC PMP Group 2</v>
          </cell>
          <cell r="BG2" t="str">
            <v>BC PMP Group 3</v>
          </cell>
          <cell r="BH2" t="str">
            <v>BC PMP Group 4</v>
          </cell>
          <cell r="BI2" t="str">
            <v>BC PMP Group 5</v>
          </cell>
          <cell r="BJ2" t="str">
            <v>SK Non Heavy Oil Par Price (NOP)</v>
          </cell>
          <cell r="BK2" t="str">
            <v>SK Southwest Oil Par Price (SOP)</v>
          </cell>
          <cell r="BL2" t="str">
            <v>SK Heavy Oil Par Price (HOP)</v>
          </cell>
          <cell r="BM2" t="str">
            <v>SK Provincial Gas Price (PGP)</v>
          </cell>
          <cell r="BN2" t="str">
            <v>SK Gas Cost Allowance</v>
          </cell>
          <cell r="BO2" t="str">
            <v>Sulphur Alberta Plantgate</v>
          </cell>
          <cell r="BP2" t="str">
            <v>Alaskan North Slope</v>
          </cell>
          <cell r="BQ2" t="str">
            <v>California Kern River</v>
          </cell>
          <cell r="BR2" t="str">
            <v>Louisiana Heavy Sweet</v>
          </cell>
          <cell r="BS2" t="str">
            <v>Louisiana Light Sweet</v>
          </cell>
          <cell r="BT2" t="str">
            <v>MARS Blend</v>
          </cell>
          <cell r="BU2" t="str">
            <v>Wyoming Sweet</v>
          </cell>
          <cell r="BV2" t="str">
            <v>Gulf Coast Argus Sour Crude Index</v>
          </cell>
          <cell r="BW2" t="str">
            <v>Brent Spot</v>
          </cell>
          <cell r="BX2" t="str">
            <v>Average OPEC Basket</v>
          </cell>
          <cell r="BY2" t="str">
            <v>Venezuelan Merey Crude</v>
          </cell>
          <cell r="BZ2" t="str">
            <v>Nigerian Bonny Light</v>
          </cell>
          <cell r="CA2" t="str">
            <v>Arabia UAE Dubai Feteh</v>
          </cell>
          <cell r="CB2" t="str">
            <v>Mexico Maya</v>
          </cell>
          <cell r="CC2" t="str">
            <v>Russia Urals</v>
          </cell>
          <cell r="CD2" t="str">
            <v>Indonesia Minas</v>
          </cell>
          <cell r="CE2" t="str">
            <v>Permian Waha</v>
          </cell>
          <cell r="CF2" t="str">
            <v>San Juan Ignacio</v>
          </cell>
          <cell r="CG2" t="str">
            <v>Gulf Coast (Onshore)</v>
          </cell>
          <cell r="CH2" t="str">
            <v>Louisiana East Texas</v>
          </cell>
          <cell r="CI2" t="str">
            <v>Rocky Mountain Opal</v>
          </cell>
          <cell r="CJ2" t="str">
            <v>UK National Balancing Point</v>
          </cell>
          <cell r="CK2" t="str">
            <v>Russian Natural Gas Border Price in Germany</v>
          </cell>
          <cell r="CL2" t="str">
            <v>Russian Average Domestic Natural Gas</v>
          </cell>
          <cell r="CM2" t="str">
            <v>Indonesian LNG in Japan</v>
          </cell>
          <cell r="CN2" t="str">
            <v>India Domestic Gas</v>
          </cell>
          <cell r="CO2" t="str">
            <v>Ethanol CBOT</v>
          </cell>
          <cell r="CP2" t="str">
            <v>Potash FOB Vancouver</v>
          </cell>
        </row>
        <row r="3">
          <cell r="G3" t="str">
            <v>US/bbl</v>
          </cell>
          <cell r="H3" t="str">
            <v>CAD/bbl</v>
          </cell>
          <cell r="I3" t="str">
            <v>US/Mcf</v>
          </cell>
          <cell r="J3" t="str">
            <v>CAD/Mcf</v>
          </cell>
          <cell r="K3" t="str">
            <v>CAD/bbl</v>
          </cell>
          <cell r="L3" t="str">
            <v>CAD/bbl</v>
          </cell>
          <cell r="M3" t="str">
            <v>CAD/bbl</v>
          </cell>
          <cell r="N3" t="str">
            <v>CAD/bbl</v>
          </cell>
          <cell r="O3" t="str">
            <v>CAD/bbl</v>
          </cell>
          <cell r="P3" t="str">
            <v>CAD/bbl</v>
          </cell>
          <cell r="Q3" t="str">
            <v>CAD/bbl</v>
          </cell>
          <cell r="R3" t="str">
            <v>CAD/bbl</v>
          </cell>
          <cell r="S3" t="str">
            <v>CAD/Mcf</v>
          </cell>
          <cell r="T3" t="str">
            <v>CAD/Mcf</v>
          </cell>
          <cell r="U3" t="str">
            <v>CAD/Mcf</v>
          </cell>
          <cell r="V3" t="str">
            <v>CAD/Mcf</v>
          </cell>
          <cell r="W3" t="str">
            <v>CAD/bbl</v>
          </cell>
          <cell r="X3" t="str">
            <v>CAD/bbl</v>
          </cell>
          <cell r="Y3" t="str">
            <v>CAD/bbl</v>
          </cell>
          <cell r="Z3" t="str">
            <v>CAD/bbl</v>
          </cell>
          <cell r="AA3" t="str">
            <v>CAD/bbl</v>
          </cell>
          <cell r="AB3" t="str">
            <v>USD/bbl</v>
          </cell>
          <cell r="AC3" t="str">
            <v>USD/bbl</v>
          </cell>
          <cell r="AD3" t="str">
            <v>USD/bbl</v>
          </cell>
          <cell r="AE3" t="str">
            <v>USD/bbl</v>
          </cell>
          <cell r="AF3" t="str">
            <v>USD/bbl</v>
          </cell>
          <cell r="AG3" t="str">
            <v>CAD/bbl</v>
          </cell>
          <cell r="AH3" t="str">
            <v>CAD/bbl</v>
          </cell>
          <cell r="AI3" t="str">
            <v>CAD/bbl</v>
          </cell>
          <cell r="AJ3" t="str">
            <v>CAD/bbl</v>
          </cell>
          <cell r="AK3" t="str">
            <v>CAD/bbl</v>
          </cell>
          <cell r="AL3" t="str">
            <v>CAD/Mcf</v>
          </cell>
          <cell r="AM3" t="str">
            <v>CAD/bbl</v>
          </cell>
          <cell r="AN3" t="str">
            <v>CAD/bbl</v>
          </cell>
          <cell r="AO3" t="str">
            <v>CAD/bbl</v>
          </cell>
          <cell r="AP3" t="str">
            <v>CAD/Mcf</v>
          </cell>
          <cell r="AQ3" t="str">
            <v>CAD/Mcf</v>
          </cell>
          <cell r="AR3" t="str">
            <v>CAD/Mcf</v>
          </cell>
          <cell r="AS3" t="str">
            <v>CAD/Mcf</v>
          </cell>
          <cell r="AT3" t="str">
            <v>CAD/Mcf</v>
          </cell>
          <cell r="AU3" t="str">
            <v>CAD/Mcf</v>
          </cell>
          <cell r="AV3" t="str">
            <v>CAD/bbl</v>
          </cell>
          <cell r="AW3" t="str">
            <v>CAD/Mcf</v>
          </cell>
          <cell r="AX3" t="str">
            <v>CAD/Mcf</v>
          </cell>
          <cell r="AY3" t="str">
            <v>CAD/Mcf</v>
          </cell>
          <cell r="AZ3" t="str">
            <v>CAD/Mcf</v>
          </cell>
          <cell r="BA3" t="str">
            <v>CAD/Mcf</v>
          </cell>
          <cell r="BB3" t="str">
            <v>CAD/bbl</v>
          </cell>
          <cell r="BC3" t="str">
            <v>CAD/bbl</v>
          </cell>
          <cell r="BD3" t="str">
            <v>CAD/Mcf</v>
          </cell>
          <cell r="BE3" t="str">
            <v>CAD/Mcf</v>
          </cell>
          <cell r="BF3" t="str">
            <v>CAD/Mcf</v>
          </cell>
          <cell r="BG3" t="str">
            <v>CAD/Mcf</v>
          </cell>
          <cell r="BH3" t="str">
            <v>CAD/Mcf</v>
          </cell>
          <cell r="BI3" t="str">
            <v>CAD/Mcf</v>
          </cell>
          <cell r="BJ3" t="str">
            <v>CAD/bbl</v>
          </cell>
          <cell r="BK3" t="str">
            <v>CAD/bbl</v>
          </cell>
          <cell r="BL3" t="str">
            <v>CAD/bbl</v>
          </cell>
          <cell r="BM3" t="str">
            <v>CAD/Mcf</v>
          </cell>
          <cell r="BN3" t="str">
            <v>CAD/Mcf</v>
          </cell>
          <cell r="BO3" t="str">
            <v>CAD/lt</v>
          </cell>
          <cell r="BP3" t="str">
            <v>US/bbl</v>
          </cell>
          <cell r="BQ3" t="str">
            <v>US/bbl</v>
          </cell>
          <cell r="BR3" t="str">
            <v>US/bbl</v>
          </cell>
          <cell r="BS3" t="str">
            <v>US/bbl</v>
          </cell>
          <cell r="BT3" t="str">
            <v>US/bbl</v>
          </cell>
          <cell r="BU3" t="str">
            <v>US/bbl</v>
          </cell>
          <cell r="BV3" t="str">
            <v>US/bbl</v>
          </cell>
          <cell r="BW3" t="str">
            <v>US/bbl</v>
          </cell>
          <cell r="BX3" t="str">
            <v>US/bbl</v>
          </cell>
          <cell r="BY3" t="str">
            <v>US/bbl</v>
          </cell>
          <cell r="BZ3" t="str">
            <v>US/bbl</v>
          </cell>
          <cell r="CA3" t="str">
            <v>US/bbl</v>
          </cell>
          <cell r="CB3" t="str">
            <v>US/bbl</v>
          </cell>
          <cell r="CC3" t="str">
            <v>US/bbl</v>
          </cell>
          <cell r="CD3" t="str">
            <v>US/bbl</v>
          </cell>
          <cell r="CE3" t="str">
            <v>US/Mcf</v>
          </cell>
          <cell r="CF3" t="str">
            <v>US/Mcf</v>
          </cell>
          <cell r="CG3" t="str">
            <v>US/Mcf</v>
          </cell>
          <cell r="CH3" t="str">
            <v>US/Mcf</v>
          </cell>
          <cell r="CI3" t="str">
            <v>US/Mcf</v>
          </cell>
          <cell r="CJ3" t="str">
            <v>US/Mcf</v>
          </cell>
          <cell r="CK3" t="str">
            <v>US/Mcf</v>
          </cell>
          <cell r="CL3" t="str">
            <v>US/Mcf</v>
          </cell>
          <cell r="CM3" t="str">
            <v>US/Mcf</v>
          </cell>
          <cell r="CN3" t="str">
            <v>US/Mcf</v>
          </cell>
          <cell r="CO3" t="str">
            <v>US/gal</v>
          </cell>
          <cell r="CP3" t="str">
            <v>US/tonne</v>
          </cell>
        </row>
        <row r="4">
          <cell r="A4">
            <v>1</v>
          </cell>
          <cell r="B4">
            <v>2017</v>
          </cell>
          <cell r="C4">
            <v>0.74</v>
          </cell>
          <cell r="D4">
            <v>1.05</v>
          </cell>
          <cell r="E4">
            <v>1.25</v>
          </cell>
          <cell r="F4">
            <v>0</v>
          </cell>
          <cell r="G4">
            <v>55</v>
          </cell>
          <cell r="H4">
            <v>74.324324324324323</v>
          </cell>
          <cell r="I4">
            <v>3.3</v>
          </cell>
          <cell r="J4">
            <v>4.45</v>
          </cell>
          <cell r="K4">
            <v>68.899999999999991</v>
          </cell>
          <cell r="L4">
            <v>64.899999999999991</v>
          </cell>
          <cell r="M4">
            <v>55.399999999999991</v>
          </cell>
          <cell r="N4">
            <v>52.899999999999991</v>
          </cell>
          <cell r="O4">
            <v>48.899999999999991</v>
          </cell>
          <cell r="P4">
            <v>67.399999999999991</v>
          </cell>
          <cell r="Q4">
            <v>74.899999999999991</v>
          </cell>
          <cell r="R4">
            <v>54.900000000000006</v>
          </cell>
          <cell r="S4">
            <v>3.25</v>
          </cell>
          <cell r="T4">
            <v>3.05</v>
          </cell>
          <cell r="U4">
            <v>2.75</v>
          </cell>
          <cell r="V4">
            <v>4.7</v>
          </cell>
          <cell r="W4">
            <v>9.1</v>
          </cell>
          <cell r="X4">
            <v>13.799999999999999</v>
          </cell>
          <cell r="Y4">
            <v>41.349999999999994</v>
          </cell>
          <cell r="Z4">
            <v>68.899999999999991</v>
          </cell>
          <cell r="AA4">
            <v>34.449999999999996</v>
          </cell>
          <cell r="AB4">
            <v>6.75</v>
          </cell>
          <cell r="AC4">
            <v>10.199999999999999</v>
          </cell>
          <cell r="AD4">
            <v>30.6</v>
          </cell>
          <cell r="AE4">
            <v>51</v>
          </cell>
          <cell r="AF4">
            <v>25.5</v>
          </cell>
          <cell r="AG4">
            <v>74.324324324324323</v>
          </cell>
          <cell r="AH4">
            <v>60.999999999999993</v>
          </cell>
          <cell r="AI4">
            <v>57.29999999999999</v>
          </cell>
          <cell r="AJ4">
            <v>50.399999999999991</v>
          </cell>
          <cell r="AK4">
            <v>42.649999999999991</v>
          </cell>
          <cell r="AL4">
            <v>3.05</v>
          </cell>
          <cell r="AM4">
            <v>13.799999999999999</v>
          </cell>
          <cell r="AN4">
            <v>41.349999999999994</v>
          </cell>
          <cell r="AO4">
            <v>68.899999999999991</v>
          </cell>
          <cell r="AP4">
            <v>3.05</v>
          </cell>
          <cell r="AQ4">
            <v>3.05</v>
          </cell>
          <cell r="AR4">
            <v>3.05</v>
          </cell>
          <cell r="AS4">
            <v>3.05</v>
          </cell>
          <cell r="AT4">
            <v>3.05</v>
          </cell>
          <cell r="AU4">
            <v>3.05</v>
          </cell>
          <cell r="AV4">
            <v>68.899999999999991</v>
          </cell>
          <cell r="AW4">
            <v>0.19600000000000001</v>
          </cell>
          <cell r="AX4">
            <v>0.19600000000000001</v>
          </cell>
          <cell r="AY4">
            <v>0.19600000000000001</v>
          </cell>
          <cell r="AZ4">
            <v>0.19600000000000001</v>
          </cell>
          <cell r="BA4">
            <v>0.19600000000000001</v>
          </cell>
          <cell r="BB4">
            <v>19.863750562144144</v>
          </cell>
          <cell r="BC4">
            <v>17.480100494686845</v>
          </cell>
          <cell r="BD4">
            <v>1.4158409953928535</v>
          </cell>
          <cell r="BE4">
            <v>0.8</v>
          </cell>
          <cell r="BF4">
            <v>1.3</v>
          </cell>
          <cell r="BG4">
            <v>1</v>
          </cell>
          <cell r="BH4">
            <v>1.6500000000000001</v>
          </cell>
          <cell r="BI4">
            <v>1.45</v>
          </cell>
          <cell r="BJ4">
            <v>62</v>
          </cell>
          <cell r="BK4">
            <v>51.7</v>
          </cell>
          <cell r="BL4">
            <v>41.349999999999994</v>
          </cell>
          <cell r="BM4">
            <v>3.15</v>
          </cell>
          <cell r="BN4">
            <v>0.28316819907857066</v>
          </cell>
          <cell r="BO4">
            <v>50</v>
          </cell>
          <cell r="BP4">
            <v>46</v>
          </cell>
          <cell r="BQ4">
            <v>50</v>
          </cell>
          <cell r="BR4">
            <v>52.5</v>
          </cell>
          <cell r="BS4">
            <v>53</v>
          </cell>
          <cell r="BT4">
            <v>50</v>
          </cell>
          <cell r="BU4">
            <v>49</v>
          </cell>
          <cell r="BV4">
            <v>50</v>
          </cell>
          <cell r="BW4">
            <v>56</v>
          </cell>
          <cell r="BX4">
            <v>54</v>
          </cell>
          <cell r="BY4">
            <v>47</v>
          </cell>
          <cell r="BZ4">
            <v>56.4</v>
          </cell>
          <cell r="CA4">
            <v>53.5</v>
          </cell>
          <cell r="CB4">
            <v>48.5</v>
          </cell>
          <cell r="CC4">
            <v>54.5</v>
          </cell>
          <cell r="CD4">
            <v>53</v>
          </cell>
          <cell r="CE4">
            <v>3.0999999999999996</v>
          </cell>
          <cell r="CF4">
            <v>3.0999999999999996</v>
          </cell>
          <cell r="CG4">
            <v>3.1999999999999997</v>
          </cell>
          <cell r="CH4">
            <v>3.1999999999999997</v>
          </cell>
          <cell r="CI4">
            <v>3.05</v>
          </cell>
          <cell r="CJ4">
            <v>5.3</v>
          </cell>
          <cell r="CK4">
            <v>5</v>
          </cell>
          <cell r="CL4">
            <v>2.2999999999999998</v>
          </cell>
          <cell r="CM4">
            <v>8.8000000000000007</v>
          </cell>
          <cell r="CN4">
            <v>2.4500000000000002</v>
          </cell>
          <cell r="CO4">
            <v>1.5</v>
          </cell>
          <cell r="CP4">
            <v>220</v>
          </cell>
        </row>
        <row r="5">
          <cell r="A5">
            <v>2</v>
          </cell>
          <cell r="B5">
            <v>2018</v>
          </cell>
          <cell r="C5">
            <v>0.76</v>
          </cell>
          <cell r="D5">
            <v>1.05</v>
          </cell>
          <cell r="E5">
            <v>1.25</v>
          </cell>
          <cell r="F5">
            <v>0</v>
          </cell>
          <cell r="G5">
            <v>57</v>
          </cell>
          <cell r="H5">
            <v>75</v>
          </cell>
          <cell r="I5">
            <v>3.35</v>
          </cell>
          <cell r="J5">
            <v>4.4000000000000004</v>
          </cell>
          <cell r="K5">
            <v>69.75</v>
          </cell>
          <cell r="L5">
            <v>65.75</v>
          </cell>
          <cell r="M5">
            <v>56.25</v>
          </cell>
          <cell r="N5">
            <v>53.75</v>
          </cell>
          <cell r="O5">
            <v>49.75</v>
          </cell>
          <cell r="P5">
            <v>68.25</v>
          </cell>
          <cell r="Q5">
            <v>75.75</v>
          </cell>
          <cell r="R5">
            <v>55.75</v>
          </cell>
          <cell r="S5">
            <v>3.3000000000000003</v>
          </cell>
          <cell r="T5">
            <v>3.1</v>
          </cell>
          <cell r="U5">
            <v>2.8000000000000003</v>
          </cell>
          <cell r="V5">
            <v>4.6500000000000004</v>
          </cell>
          <cell r="W5">
            <v>9.25</v>
          </cell>
          <cell r="X5">
            <v>20.950000000000003</v>
          </cell>
          <cell r="Y5">
            <v>41.849999999999994</v>
          </cell>
          <cell r="Z5">
            <v>69.75</v>
          </cell>
          <cell r="AA5">
            <v>38.050000000000004</v>
          </cell>
          <cell r="AB5">
            <v>7.05</v>
          </cell>
          <cell r="AC5">
            <v>15.9</v>
          </cell>
          <cell r="AD5">
            <v>31.8</v>
          </cell>
          <cell r="AE5">
            <v>53</v>
          </cell>
          <cell r="AF5">
            <v>28.900000000000002</v>
          </cell>
          <cell r="AG5">
            <v>75</v>
          </cell>
          <cell r="AH5">
            <v>61.85</v>
          </cell>
          <cell r="AI5">
            <v>58.15</v>
          </cell>
          <cell r="AJ5">
            <v>51.25</v>
          </cell>
          <cell r="AK5">
            <v>43.5</v>
          </cell>
          <cell r="AL5">
            <v>3.1</v>
          </cell>
          <cell r="AM5">
            <v>20.950000000000003</v>
          </cell>
          <cell r="AN5">
            <v>41.849999999999994</v>
          </cell>
          <cell r="AO5">
            <v>69.75</v>
          </cell>
          <cell r="AP5">
            <v>3.1</v>
          </cell>
          <cell r="AQ5">
            <v>3.1</v>
          </cell>
          <cell r="AR5">
            <v>3.1</v>
          </cell>
          <cell r="AS5">
            <v>3.1</v>
          </cell>
          <cell r="AT5">
            <v>3.1</v>
          </cell>
          <cell r="AU5">
            <v>3.1</v>
          </cell>
          <cell r="AV5">
            <v>69.75</v>
          </cell>
          <cell r="AW5">
            <v>0.19600000000000001</v>
          </cell>
          <cell r="AX5">
            <v>0.19600000000000001</v>
          </cell>
          <cell r="AY5">
            <v>0.19600000000000001</v>
          </cell>
          <cell r="AZ5">
            <v>0.19600000000000001</v>
          </cell>
          <cell r="BA5">
            <v>0.19600000000000001</v>
          </cell>
          <cell r="BB5">
            <v>19.863750562144144</v>
          </cell>
          <cell r="BC5">
            <v>17.480100494686845</v>
          </cell>
          <cell r="BD5">
            <v>1.4158409953928535</v>
          </cell>
          <cell r="BE5">
            <v>0.85000000000000009</v>
          </cell>
          <cell r="BF5">
            <v>1.3</v>
          </cell>
          <cell r="BG5">
            <v>1</v>
          </cell>
          <cell r="BH5">
            <v>1.6500000000000001</v>
          </cell>
          <cell r="BI5">
            <v>1.5</v>
          </cell>
          <cell r="BJ5">
            <v>62.800000000000004</v>
          </cell>
          <cell r="BK5">
            <v>52.300000000000004</v>
          </cell>
          <cell r="BL5">
            <v>41.849999999999994</v>
          </cell>
          <cell r="BM5">
            <v>3.2</v>
          </cell>
          <cell r="BN5">
            <v>0.28316819907857066</v>
          </cell>
          <cell r="BO5">
            <v>50</v>
          </cell>
          <cell r="BP5">
            <v>48</v>
          </cell>
          <cell r="BQ5">
            <v>52</v>
          </cell>
          <cell r="BR5">
            <v>54.5</v>
          </cell>
          <cell r="BS5">
            <v>55</v>
          </cell>
          <cell r="BT5">
            <v>52</v>
          </cell>
          <cell r="BU5">
            <v>51</v>
          </cell>
          <cell r="BV5">
            <v>52</v>
          </cell>
          <cell r="BW5">
            <v>58</v>
          </cell>
          <cell r="BX5">
            <v>56</v>
          </cell>
          <cell r="BY5">
            <v>49</v>
          </cell>
          <cell r="BZ5">
            <v>58.4</v>
          </cell>
          <cell r="CA5">
            <v>55.5</v>
          </cell>
          <cell r="CB5">
            <v>50.5</v>
          </cell>
          <cell r="CC5">
            <v>56.5</v>
          </cell>
          <cell r="CD5">
            <v>55</v>
          </cell>
          <cell r="CE5">
            <v>3.15</v>
          </cell>
          <cell r="CF5">
            <v>3.15</v>
          </cell>
          <cell r="CG5">
            <v>3.25</v>
          </cell>
          <cell r="CH5">
            <v>3.25</v>
          </cell>
          <cell r="CI5">
            <v>3.1</v>
          </cell>
          <cell r="CJ5">
            <v>5.35</v>
          </cell>
          <cell r="CK5">
            <v>5.05</v>
          </cell>
          <cell r="CL5">
            <v>2.3499999999999996</v>
          </cell>
          <cell r="CM5">
            <v>8.85</v>
          </cell>
          <cell r="CN5">
            <v>3.15</v>
          </cell>
          <cell r="CO5">
            <v>1.5</v>
          </cell>
          <cell r="CP5">
            <v>220</v>
          </cell>
        </row>
        <row r="6">
          <cell r="A6">
            <v>3</v>
          </cell>
          <cell r="B6">
            <v>2019</v>
          </cell>
          <cell r="C6">
            <v>0.78</v>
          </cell>
          <cell r="D6">
            <v>1.05</v>
          </cell>
          <cell r="E6">
            <v>1.25</v>
          </cell>
          <cell r="F6">
            <v>0</v>
          </cell>
          <cell r="G6">
            <v>60</v>
          </cell>
          <cell r="H6">
            <v>76.92307692307692</v>
          </cell>
          <cell r="I6">
            <v>3.4</v>
          </cell>
          <cell r="J6">
            <v>4.3499999999999996</v>
          </cell>
          <cell r="K6">
            <v>71.8</v>
          </cell>
          <cell r="L6">
            <v>67.8</v>
          </cell>
          <cell r="M6">
            <v>58.3</v>
          </cell>
          <cell r="N6">
            <v>55.8</v>
          </cell>
          <cell r="O6">
            <v>51.8</v>
          </cell>
          <cell r="P6">
            <v>70.3</v>
          </cell>
          <cell r="Q6">
            <v>77.8</v>
          </cell>
          <cell r="R6">
            <v>57.800000000000004</v>
          </cell>
          <cell r="S6">
            <v>3.35</v>
          </cell>
          <cell r="T6">
            <v>3.15</v>
          </cell>
          <cell r="U6">
            <v>2.85</v>
          </cell>
          <cell r="V6">
            <v>4.5999999999999996</v>
          </cell>
          <cell r="W6">
            <v>9.3999999999999986</v>
          </cell>
          <cell r="X6">
            <v>28.700000000000003</v>
          </cell>
          <cell r="Y6">
            <v>43.099999999999994</v>
          </cell>
          <cell r="Z6">
            <v>71.8</v>
          </cell>
          <cell r="AA6">
            <v>42.35</v>
          </cell>
          <cell r="AB6">
            <v>7.35</v>
          </cell>
          <cell r="AC6">
            <v>22.400000000000002</v>
          </cell>
          <cell r="AD6">
            <v>33.6</v>
          </cell>
          <cell r="AE6">
            <v>56</v>
          </cell>
          <cell r="AF6">
            <v>33.050000000000004</v>
          </cell>
          <cell r="AG6">
            <v>76.92307692307692</v>
          </cell>
          <cell r="AH6">
            <v>63.9</v>
          </cell>
          <cell r="AI6">
            <v>60.199999999999996</v>
          </cell>
          <cell r="AJ6">
            <v>53.3</v>
          </cell>
          <cell r="AK6">
            <v>45.55</v>
          </cell>
          <cell r="AL6">
            <v>3.15</v>
          </cell>
          <cell r="AM6">
            <v>28.700000000000003</v>
          </cell>
          <cell r="AN6">
            <v>43.099999999999994</v>
          </cell>
          <cell r="AO6">
            <v>71.8</v>
          </cell>
          <cell r="AP6">
            <v>3.15</v>
          </cell>
          <cell r="AQ6">
            <v>3.15</v>
          </cell>
          <cell r="AR6">
            <v>3.15</v>
          </cell>
          <cell r="AS6">
            <v>3.15</v>
          </cell>
          <cell r="AT6">
            <v>3.15</v>
          </cell>
          <cell r="AU6">
            <v>3.15</v>
          </cell>
          <cell r="AV6">
            <v>71.8</v>
          </cell>
          <cell r="AW6">
            <v>0.19600000000000001</v>
          </cell>
          <cell r="AX6">
            <v>0.19600000000000001</v>
          </cell>
          <cell r="AY6">
            <v>0.19600000000000001</v>
          </cell>
          <cell r="AZ6">
            <v>0.19600000000000001</v>
          </cell>
          <cell r="BA6">
            <v>0.19600000000000001</v>
          </cell>
          <cell r="BB6">
            <v>19.863750562144144</v>
          </cell>
          <cell r="BC6">
            <v>17.480100494686845</v>
          </cell>
          <cell r="BD6">
            <v>1.4158409953928535</v>
          </cell>
          <cell r="BE6">
            <v>0.85000000000000009</v>
          </cell>
          <cell r="BF6">
            <v>1.35</v>
          </cell>
          <cell r="BG6">
            <v>1</v>
          </cell>
          <cell r="BH6">
            <v>1.7000000000000002</v>
          </cell>
          <cell r="BI6">
            <v>1.5</v>
          </cell>
          <cell r="BJ6">
            <v>64.599999999999994</v>
          </cell>
          <cell r="BK6">
            <v>53.849999999999994</v>
          </cell>
          <cell r="BL6">
            <v>43.099999999999994</v>
          </cell>
          <cell r="BM6">
            <v>3.25</v>
          </cell>
          <cell r="BN6">
            <v>0.28316819907857066</v>
          </cell>
          <cell r="BO6">
            <v>50</v>
          </cell>
          <cell r="BP6">
            <v>51</v>
          </cell>
          <cell r="BQ6">
            <v>55</v>
          </cell>
          <cell r="BR6">
            <v>57.5</v>
          </cell>
          <cell r="BS6">
            <v>58</v>
          </cell>
          <cell r="BT6">
            <v>55</v>
          </cell>
          <cell r="BU6">
            <v>54</v>
          </cell>
          <cell r="BV6">
            <v>55</v>
          </cell>
          <cell r="BW6">
            <v>61</v>
          </cell>
          <cell r="BX6">
            <v>59</v>
          </cell>
          <cell r="BY6">
            <v>52</v>
          </cell>
          <cell r="BZ6">
            <v>61.4</v>
          </cell>
          <cell r="CA6">
            <v>58.5</v>
          </cell>
          <cell r="CB6">
            <v>53.5</v>
          </cell>
          <cell r="CC6">
            <v>59.5</v>
          </cell>
          <cell r="CD6">
            <v>58</v>
          </cell>
          <cell r="CE6">
            <v>3.1999999999999997</v>
          </cell>
          <cell r="CF6">
            <v>3.1999999999999997</v>
          </cell>
          <cell r="CG6">
            <v>3.3</v>
          </cell>
          <cell r="CH6">
            <v>3.3</v>
          </cell>
          <cell r="CI6">
            <v>3.15</v>
          </cell>
          <cell r="CJ6">
            <v>5.4</v>
          </cell>
          <cell r="CK6">
            <v>5.1000000000000005</v>
          </cell>
          <cell r="CL6">
            <v>2.4000000000000004</v>
          </cell>
          <cell r="CM6">
            <v>8.9</v>
          </cell>
          <cell r="CN6">
            <v>3.2</v>
          </cell>
          <cell r="CO6">
            <v>1.5</v>
          </cell>
          <cell r="CP6">
            <v>220</v>
          </cell>
        </row>
        <row r="7">
          <cell r="A7">
            <v>4</v>
          </cell>
          <cell r="B7">
            <v>2020</v>
          </cell>
          <cell r="C7">
            <v>0.81</v>
          </cell>
          <cell r="D7">
            <v>1.05</v>
          </cell>
          <cell r="E7">
            <v>1.25</v>
          </cell>
          <cell r="F7">
            <v>0</v>
          </cell>
          <cell r="G7">
            <v>65</v>
          </cell>
          <cell r="H7">
            <v>80.246913580246911</v>
          </cell>
          <cell r="I7">
            <v>3.45</v>
          </cell>
          <cell r="J7">
            <v>4.25</v>
          </cell>
          <cell r="K7">
            <v>75.3</v>
          </cell>
          <cell r="L7">
            <v>71.3</v>
          </cell>
          <cell r="M7">
            <v>61.8</v>
          </cell>
          <cell r="N7">
            <v>59.3</v>
          </cell>
          <cell r="O7">
            <v>55.3</v>
          </cell>
          <cell r="P7">
            <v>73.8</v>
          </cell>
          <cell r="Q7">
            <v>81.3</v>
          </cell>
          <cell r="R7">
            <v>61.3</v>
          </cell>
          <cell r="S7">
            <v>3.35</v>
          </cell>
          <cell r="T7">
            <v>3.15</v>
          </cell>
          <cell r="U7">
            <v>2.85</v>
          </cell>
          <cell r="V7">
            <v>4.5</v>
          </cell>
          <cell r="W7">
            <v>9.3999999999999986</v>
          </cell>
          <cell r="X7">
            <v>30.099999999999998</v>
          </cell>
          <cell r="Y7">
            <v>45.199999999999996</v>
          </cell>
          <cell r="Z7">
            <v>75.3</v>
          </cell>
          <cell r="AA7">
            <v>44.45</v>
          </cell>
          <cell r="AB7">
            <v>7.6</v>
          </cell>
          <cell r="AC7">
            <v>24.4</v>
          </cell>
          <cell r="AD7">
            <v>36.6</v>
          </cell>
          <cell r="AE7">
            <v>61</v>
          </cell>
          <cell r="AF7">
            <v>36</v>
          </cell>
          <cell r="AG7">
            <v>80.246913580246911</v>
          </cell>
          <cell r="AH7">
            <v>67.399999999999991</v>
          </cell>
          <cell r="AI7">
            <v>63.699999999999996</v>
          </cell>
          <cell r="AJ7">
            <v>56.8</v>
          </cell>
          <cell r="AK7">
            <v>49.05</v>
          </cell>
          <cell r="AL7">
            <v>3.15</v>
          </cell>
          <cell r="AM7">
            <v>30.099999999999998</v>
          </cell>
          <cell r="AN7">
            <v>45.199999999999996</v>
          </cell>
          <cell r="AO7">
            <v>75.3</v>
          </cell>
          <cell r="AP7">
            <v>3.15</v>
          </cell>
          <cell r="AQ7">
            <v>3.15</v>
          </cell>
          <cell r="AR7">
            <v>3.15</v>
          </cell>
          <cell r="AS7">
            <v>3.15</v>
          </cell>
          <cell r="AT7">
            <v>3.15</v>
          </cell>
          <cell r="AU7">
            <v>3.15</v>
          </cell>
          <cell r="AV7">
            <v>75.3</v>
          </cell>
          <cell r="AW7">
            <v>0.19600000000000001</v>
          </cell>
          <cell r="AX7">
            <v>0.19600000000000001</v>
          </cell>
          <cell r="AY7">
            <v>0.19600000000000001</v>
          </cell>
          <cell r="AZ7">
            <v>0.19600000000000001</v>
          </cell>
          <cell r="BA7">
            <v>0.19600000000000001</v>
          </cell>
          <cell r="BB7">
            <v>19.863750562144144</v>
          </cell>
          <cell r="BC7">
            <v>17.480100494686845</v>
          </cell>
          <cell r="BD7">
            <v>1.4158409953928535</v>
          </cell>
          <cell r="BE7">
            <v>0.85000000000000009</v>
          </cell>
          <cell r="BF7">
            <v>1.35</v>
          </cell>
          <cell r="BG7">
            <v>1</v>
          </cell>
          <cell r="BH7">
            <v>1.7000000000000002</v>
          </cell>
          <cell r="BI7">
            <v>1.5</v>
          </cell>
          <cell r="BJ7">
            <v>67.75</v>
          </cell>
          <cell r="BK7">
            <v>56.5</v>
          </cell>
          <cell r="BL7">
            <v>45.199999999999996</v>
          </cell>
          <cell r="BM7">
            <v>3.25</v>
          </cell>
          <cell r="BN7">
            <v>0.28316819907857066</v>
          </cell>
          <cell r="BO7">
            <v>50</v>
          </cell>
          <cell r="BP7">
            <v>56</v>
          </cell>
          <cell r="BQ7">
            <v>60</v>
          </cell>
          <cell r="BR7">
            <v>62.5</v>
          </cell>
          <cell r="BS7">
            <v>63</v>
          </cell>
          <cell r="BT7">
            <v>60</v>
          </cell>
          <cell r="BU7">
            <v>59</v>
          </cell>
          <cell r="BV7">
            <v>60</v>
          </cell>
          <cell r="BW7">
            <v>66</v>
          </cell>
          <cell r="BX7">
            <v>64</v>
          </cell>
          <cell r="BY7">
            <v>57</v>
          </cell>
          <cell r="BZ7">
            <v>66.400000000000006</v>
          </cell>
          <cell r="CA7">
            <v>63.5</v>
          </cell>
          <cell r="CB7">
            <v>58.5</v>
          </cell>
          <cell r="CC7">
            <v>64.5</v>
          </cell>
          <cell r="CD7">
            <v>63</v>
          </cell>
          <cell r="CE7">
            <v>3.25</v>
          </cell>
          <cell r="CF7">
            <v>3.25</v>
          </cell>
          <cell r="CG7">
            <v>3.35</v>
          </cell>
          <cell r="CH7">
            <v>3.35</v>
          </cell>
          <cell r="CI7">
            <v>3.2</v>
          </cell>
          <cell r="CJ7">
            <v>5.45</v>
          </cell>
          <cell r="CK7">
            <v>5.15</v>
          </cell>
          <cell r="CL7">
            <v>2.4500000000000002</v>
          </cell>
          <cell r="CM7">
            <v>8.9499999999999993</v>
          </cell>
          <cell r="CN7">
            <v>3.25</v>
          </cell>
          <cell r="CO7">
            <v>1.5</v>
          </cell>
          <cell r="CP7">
            <v>220</v>
          </cell>
        </row>
        <row r="8">
          <cell r="A8">
            <v>5</v>
          </cell>
          <cell r="B8">
            <v>2021</v>
          </cell>
          <cell r="C8">
            <v>0.85</v>
          </cell>
          <cell r="D8">
            <v>1.05</v>
          </cell>
          <cell r="E8">
            <v>1.25</v>
          </cell>
          <cell r="F8">
            <v>0</v>
          </cell>
          <cell r="G8">
            <v>70</v>
          </cell>
          <cell r="H8">
            <v>82.352941176470594</v>
          </cell>
          <cell r="I8">
            <v>3.5</v>
          </cell>
          <cell r="J8">
            <v>4.0999999999999996</v>
          </cell>
          <cell r="K8">
            <v>77.649999999999991</v>
          </cell>
          <cell r="L8">
            <v>73.649999999999991</v>
          </cell>
          <cell r="M8">
            <v>64.149999999999991</v>
          </cell>
          <cell r="N8">
            <v>61.649999999999991</v>
          </cell>
          <cell r="O8">
            <v>57.649999999999991</v>
          </cell>
          <cell r="P8">
            <v>76.149999999999991</v>
          </cell>
          <cell r="Q8">
            <v>83.649999999999991</v>
          </cell>
          <cell r="R8">
            <v>63.650000000000006</v>
          </cell>
          <cell r="S8">
            <v>3.4000000000000004</v>
          </cell>
          <cell r="T8">
            <v>3.2</v>
          </cell>
          <cell r="U8">
            <v>2.9000000000000004</v>
          </cell>
          <cell r="V8">
            <v>4.3499999999999996</v>
          </cell>
          <cell r="W8">
            <v>9.5</v>
          </cell>
          <cell r="X8">
            <v>31.05</v>
          </cell>
          <cell r="Y8">
            <v>46.6</v>
          </cell>
          <cell r="Z8">
            <v>77.649999999999991</v>
          </cell>
          <cell r="AA8">
            <v>45.8</v>
          </cell>
          <cell r="AB8">
            <v>8.1000000000000014</v>
          </cell>
          <cell r="AC8">
            <v>26.400000000000002</v>
          </cell>
          <cell r="AD8">
            <v>39.6</v>
          </cell>
          <cell r="AE8">
            <v>66</v>
          </cell>
          <cell r="AF8">
            <v>38.950000000000003</v>
          </cell>
          <cell r="AG8">
            <v>82.352941176470594</v>
          </cell>
          <cell r="AH8">
            <v>69.749999999999986</v>
          </cell>
          <cell r="AI8">
            <v>66.05</v>
          </cell>
          <cell r="AJ8">
            <v>59.149999999999991</v>
          </cell>
          <cell r="AK8">
            <v>51.399999999999991</v>
          </cell>
          <cell r="AL8">
            <v>3.2</v>
          </cell>
          <cell r="AM8">
            <v>31.05</v>
          </cell>
          <cell r="AN8">
            <v>46.6</v>
          </cell>
          <cell r="AO8">
            <v>77.649999999999991</v>
          </cell>
          <cell r="AP8">
            <v>3.2</v>
          </cell>
          <cell r="AQ8">
            <v>3.2</v>
          </cell>
          <cell r="AR8">
            <v>3.2</v>
          </cell>
          <cell r="AS8">
            <v>3.2</v>
          </cell>
          <cell r="AT8">
            <v>3.2</v>
          </cell>
          <cell r="AU8">
            <v>3.2</v>
          </cell>
          <cell r="AV8">
            <v>77.649999999999991</v>
          </cell>
          <cell r="AW8">
            <v>0.19600000000000001</v>
          </cell>
          <cell r="AX8">
            <v>0.19600000000000001</v>
          </cell>
          <cell r="AY8">
            <v>0.19600000000000001</v>
          </cell>
          <cell r="AZ8">
            <v>0.19600000000000001</v>
          </cell>
          <cell r="BA8">
            <v>0.19600000000000001</v>
          </cell>
          <cell r="BB8">
            <v>19.863750562144144</v>
          </cell>
          <cell r="BC8">
            <v>17.480100494686845</v>
          </cell>
          <cell r="BD8">
            <v>1.4158409953928535</v>
          </cell>
          <cell r="BE8">
            <v>0.85000000000000009</v>
          </cell>
          <cell r="BF8">
            <v>1.35</v>
          </cell>
          <cell r="BG8">
            <v>1</v>
          </cell>
          <cell r="BH8">
            <v>1.7000000000000002</v>
          </cell>
          <cell r="BI8">
            <v>1.55</v>
          </cell>
          <cell r="BJ8">
            <v>69.900000000000006</v>
          </cell>
          <cell r="BK8">
            <v>58.25</v>
          </cell>
          <cell r="BL8">
            <v>46.6</v>
          </cell>
          <cell r="BM8">
            <v>3.3000000000000003</v>
          </cell>
          <cell r="BN8">
            <v>0.28316819907857066</v>
          </cell>
          <cell r="BO8">
            <v>50</v>
          </cell>
          <cell r="BP8">
            <v>61</v>
          </cell>
          <cell r="BQ8">
            <v>65</v>
          </cell>
          <cell r="BR8">
            <v>67.5</v>
          </cell>
          <cell r="BS8">
            <v>68</v>
          </cell>
          <cell r="BT8">
            <v>65</v>
          </cell>
          <cell r="BU8">
            <v>64</v>
          </cell>
          <cell r="BV8">
            <v>65</v>
          </cell>
          <cell r="BW8">
            <v>71</v>
          </cell>
          <cell r="BX8">
            <v>69</v>
          </cell>
          <cell r="BY8">
            <v>62</v>
          </cell>
          <cell r="BZ8">
            <v>71.400000000000006</v>
          </cell>
          <cell r="CA8">
            <v>68.5</v>
          </cell>
          <cell r="CB8">
            <v>63.5</v>
          </cell>
          <cell r="CC8">
            <v>69.5</v>
          </cell>
          <cell r="CD8">
            <v>68</v>
          </cell>
          <cell r="CE8">
            <v>3.3</v>
          </cell>
          <cell r="CF8">
            <v>3.3</v>
          </cell>
          <cell r="CG8">
            <v>3.4</v>
          </cell>
          <cell r="CH8">
            <v>3.4</v>
          </cell>
          <cell r="CI8">
            <v>3.25</v>
          </cell>
          <cell r="CJ8">
            <v>5.5</v>
          </cell>
          <cell r="CK8">
            <v>5.2</v>
          </cell>
          <cell r="CL8">
            <v>2.5</v>
          </cell>
          <cell r="CM8">
            <v>9</v>
          </cell>
          <cell r="CN8">
            <v>3.3000000000000003</v>
          </cell>
          <cell r="CO8">
            <v>1.5</v>
          </cell>
          <cell r="CP8">
            <v>220</v>
          </cell>
        </row>
        <row r="9">
          <cell r="A9">
            <v>6</v>
          </cell>
          <cell r="B9">
            <v>2022</v>
          </cell>
          <cell r="C9">
            <v>0.85</v>
          </cell>
          <cell r="D9">
            <v>1.05</v>
          </cell>
          <cell r="E9">
            <v>1.25</v>
          </cell>
          <cell r="F9">
            <v>0</v>
          </cell>
          <cell r="G9">
            <v>75</v>
          </cell>
          <cell r="H9">
            <v>88.235294117647058</v>
          </cell>
          <cell r="I9">
            <v>3.6</v>
          </cell>
          <cell r="J9">
            <v>4.25</v>
          </cell>
          <cell r="K9">
            <v>83.550000000000011</v>
          </cell>
          <cell r="L9">
            <v>79.550000000000011</v>
          </cell>
          <cell r="M9">
            <v>70.050000000000011</v>
          </cell>
          <cell r="N9">
            <v>67.550000000000011</v>
          </cell>
          <cell r="O9">
            <v>63.550000000000011</v>
          </cell>
          <cell r="P9">
            <v>82.050000000000011</v>
          </cell>
          <cell r="Q9">
            <v>89.550000000000011</v>
          </cell>
          <cell r="R9">
            <v>69.55</v>
          </cell>
          <cell r="S9">
            <v>3.55</v>
          </cell>
          <cell r="T9">
            <v>3.3499999999999996</v>
          </cell>
          <cell r="U9">
            <v>3.05</v>
          </cell>
          <cell r="V9">
            <v>4.5</v>
          </cell>
          <cell r="W9">
            <v>9.9499999999999993</v>
          </cell>
          <cell r="X9">
            <v>33.4</v>
          </cell>
          <cell r="Y9">
            <v>50.15</v>
          </cell>
          <cell r="Z9">
            <v>83.550000000000011</v>
          </cell>
          <cell r="AA9">
            <v>49.3</v>
          </cell>
          <cell r="AB9">
            <v>8.4499999999999993</v>
          </cell>
          <cell r="AC9">
            <v>28.4</v>
          </cell>
          <cell r="AD9">
            <v>42.65</v>
          </cell>
          <cell r="AE9">
            <v>71</v>
          </cell>
          <cell r="AF9">
            <v>41.900000000000006</v>
          </cell>
          <cell r="AG9">
            <v>88.235294117647058</v>
          </cell>
          <cell r="AH9">
            <v>75.650000000000006</v>
          </cell>
          <cell r="AI9">
            <v>71.950000000000017</v>
          </cell>
          <cell r="AJ9">
            <v>65.050000000000011</v>
          </cell>
          <cell r="AK9">
            <v>57.300000000000011</v>
          </cell>
          <cell r="AL9">
            <v>3.3499999999999996</v>
          </cell>
          <cell r="AM9">
            <v>33.4</v>
          </cell>
          <cell r="AN9">
            <v>50.15</v>
          </cell>
          <cell r="AO9">
            <v>83.550000000000011</v>
          </cell>
          <cell r="AP9">
            <v>3.3499999999999996</v>
          </cell>
          <cell r="AQ9">
            <v>3.3499999999999996</v>
          </cell>
          <cell r="AR9">
            <v>3.3499999999999996</v>
          </cell>
          <cell r="AS9">
            <v>3.3499999999999996</v>
          </cell>
          <cell r="AT9">
            <v>3.3499999999999996</v>
          </cell>
          <cell r="AU9">
            <v>3.3499999999999996</v>
          </cell>
          <cell r="AV9">
            <v>83.550000000000011</v>
          </cell>
          <cell r="AW9">
            <v>0.19600000000000001</v>
          </cell>
          <cell r="AX9">
            <v>0.19600000000000001</v>
          </cell>
          <cell r="AY9">
            <v>0.19600000000000001</v>
          </cell>
          <cell r="AZ9">
            <v>0.19600000000000001</v>
          </cell>
          <cell r="BA9">
            <v>0.19600000000000001</v>
          </cell>
          <cell r="BB9">
            <v>19.863750562144144</v>
          </cell>
          <cell r="BC9">
            <v>17.480100494686845</v>
          </cell>
          <cell r="BD9">
            <v>1.4158409953928535</v>
          </cell>
          <cell r="BE9">
            <v>0.89999999999999991</v>
          </cell>
          <cell r="BF9">
            <v>1.4000000000000001</v>
          </cell>
          <cell r="BG9">
            <v>1.05</v>
          </cell>
          <cell r="BH9">
            <v>1.7999999999999998</v>
          </cell>
          <cell r="BI9">
            <v>1.6</v>
          </cell>
          <cell r="BJ9">
            <v>75.199999999999989</v>
          </cell>
          <cell r="BK9">
            <v>62.65</v>
          </cell>
          <cell r="BL9">
            <v>50.15</v>
          </cell>
          <cell r="BM9">
            <v>3.4499999999999997</v>
          </cell>
          <cell r="BN9">
            <v>0.28316819907857066</v>
          </cell>
          <cell r="BO9">
            <v>50</v>
          </cell>
          <cell r="BP9">
            <v>66</v>
          </cell>
          <cell r="BQ9">
            <v>70</v>
          </cell>
          <cell r="BR9">
            <v>72.5</v>
          </cell>
          <cell r="BS9">
            <v>73</v>
          </cell>
          <cell r="BT9">
            <v>70</v>
          </cell>
          <cell r="BU9">
            <v>69</v>
          </cell>
          <cell r="BV9">
            <v>70</v>
          </cell>
          <cell r="BW9">
            <v>76</v>
          </cell>
          <cell r="BX9">
            <v>74</v>
          </cell>
          <cell r="BY9">
            <v>67</v>
          </cell>
          <cell r="BZ9">
            <v>76.400000000000006</v>
          </cell>
          <cell r="CA9">
            <v>73.5</v>
          </cell>
          <cell r="CB9">
            <v>68.5</v>
          </cell>
          <cell r="CC9">
            <v>74.5</v>
          </cell>
          <cell r="CD9">
            <v>73</v>
          </cell>
          <cell r="CE9">
            <v>3.4</v>
          </cell>
          <cell r="CF9">
            <v>3.4</v>
          </cell>
          <cell r="CG9">
            <v>3.5</v>
          </cell>
          <cell r="CH9">
            <v>3.5</v>
          </cell>
          <cell r="CI9">
            <v>3.35</v>
          </cell>
          <cell r="CJ9">
            <v>5.6</v>
          </cell>
          <cell r="CK9">
            <v>5.3</v>
          </cell>
          <cell r="CL9">
            <v>2.5999999999999996</v>
          </cell>
          <cell r="CM9">
            <v>9.1</v>
          </cell>
          <cell r="CN9">
            <v>3.35</v>
          </cell>
          <cell r="CO9">
            <v>1.5</v>
          </cell>
          <cell r="CP9">
            <v>220</v>
          </cell>
        </row>
        <row r="10">
          <cell r="A10">
            <v>7</v>
          </cell>
          <cell r="B10">
            <v>2023</v>
          </cell>
          <cell r="C10">
            <v>0.85</v>
          </cell>
          <cell r="D10">
            <v>1.05</v>
          </cell>
          <cell r="E10">
            <v>1.25</v>
          </cell>
          <cell r="F10">
            <v>0</v>
          </cell>
          <cell r="G10">
            <v>75</v>
          </cell>
          <cell r="H10">
            <v>88.235294117647058</v>
          </cell>
          <cell r="I10">
            <v>3.75</v>
          </cell>
          <cell r="J10">
            <v>4.4000000000000004</v>
          </cell>
          <cell r="K10">
            <v>83.550000000000011</v>
          </cell>
          <cell r="L10">
            <v>79.550000000000011</v>
          </cell>
          <cell r="M10">
            <v>70.050000000000011</v>
          </cell>
          <cell r="N10">
            <v>67.550000000000011</v>
          </cell>
          <cell r="O10">
            <v>63.550000000000011</v>
          </cell>
          <cell r="P10">
            <v>82.050000000000011</v>
          </cell>
          <cell r="Q10">
            <v>89.550000000000011</v>
          </cell>
          <cell r="R10">
            <v>69.55</v>
          </cell>
          <cell r="S10">
            <v>3.7</v>
          </cell>
          <cell r="T10">
            <v>3.5</v>
          </cell>
          <cell r="U10">
            <v>3.2</v>
          </cell>
          <cell r="V10">
            <v>4.6500000000000004</v>
          </cell>
          <cell r="W10">
            <v>10.35</v>
          </cell>
          <cell r="X10">
            <v>33.4</v>
          </cell>
          <cell r="Y10">
            <v>50.15</v>
          </cell>
          <cell r="Z10">
            <v>83.550000000000011</v>
          </cell>
          <cell r="AA10">
            <v>49.3</v>
          </cell>
          <cell r="AB10">
            <v>8.8000000000000007</v>
          </cell>
          <cell r="AC10">
            <v>28.4</v>
          </cell>
          <cell r="AD10">
            <v>42.65</v>
          </cell>
          <cell r="AE10">
            <v>71</v>
          </cell>
          <cell r="AF10">
            <v>41.900000000000006</v>
          </cell>
          <cell r="AG10">
            <v>88.235294117647058</v>
          </cell>
          <cell r="AH10">
            <v>75.650000000000006</v>
          </cell>
          <cell r="AI10">
            <v>71.950000000000017</v>
          </cell>
          <cell r="AJ10">
            <v>65.050000000000011</v>
          </cell>
          <cell r="AK10">
            <v>57.300000000000011</v>
          </cell>
          <cell r="AL10">
            <v>3.5</v>
          </cell>
          <cell r="AM10">
            <v>33.4</v>
          </cell>
          <cell r="AN10">
            <v>50.15</v>
          </cell>
          <cell r="AO10">
            <v>83.550000000000011</v>
          </cell>
          <cell r="AP10">
            <v>3.5</v>
          </cell>
          <cell r="AQ10">
            <v>3.5</v>
          </cell>
          <cell r="AR10">
            <v>3.5</v>
          </cell>
          <cell r="AS10">
            <v>3.5</v>
          </cell>
          <cell r="AT10">
            <v>3.5</v>
          </cell>
          <cell r="AU10">
            <v>3.5</v>
          </cell>
          <cell r="AV10">
            <v>83.550000000000011</v>
          </cell>
          <cell r="AW10">
            <v>0.19600000000000001</v>
          </cell>
          <cell r="AX10">
            <v>0.19600000000000001</v>
          </cell>
          <cell r="AY10">
            <v>0.19600000000000001</v>
          </cell>
          <cell r="AZ10">
            <v>0.19600000000000001</v>
          </cell>
          <cell r="BA10">
            <v>0.19600000000000001</v>
          </cell>
          <cell r="BB10">
            <v>19.863750562144144</v>
          </cell>
          <cell r="BC10">
            <v>17.480100494686845</v>
          </cell>
          <cell r="BD10">
            <v>1.4158409953928535</v>
          </cell>
          <cell r="BE10">
            <v>0.95</v>
          </cell>
          <cell r="BF10">
            <v>1.5</v>
          </cell>
          <cell r="BG10">
            <v>1.1000000000000001</v>
          </cell>
          <cell r="BH10">
            <v>1.85</v>
          </cell>
          <cell r="BI10">
            <v>1.6500000000000001</v>
          </cell>
          <cell r="BJ10">
            <v>75.199999999999989</v>
          </cell>
          <cell r="BK10">
            <v>62.65</v>
          </cell>
          <cell r="BL10">
            <v>50.15</v>
          </cell>
          <cell r="BM10">
            <v>3.5999999999999996</v>
          </cell>
          <cell r="BN10">
            <v>0.28316819907857066</v>
          </cell>
          <cell r="BO10">
            <v>50</v>
          </cell>
          <cell r="BP10">
            <v>66</v>
          </cell>
          <cell r="BQ10">
            <v>70</v>
          </cell>
          <cell r="BR10">
            <v>72.5</v>
          </cell>
          <cell r="BS10">
            <v>73</v>
          </cell>
          <cell r="BT10">
            <v>70</v>
          </cell>
          <cell r="BU10">
            <v>69</v>
          </cell>
          <cell r="BV10">
            <v>70</v>
          </cell>
          <cell r="BW10">
            <v>76</v>
          </cell>
          <cell r="BX10">
            <v>74</v>
          </cell>
          <cell r="BY10">
            <v>67</v>
          </cell>
          <cell r="BZ10">
            <v>76.400000000000006</v>
          </cell>
          <cell r="CA10">
            <v>73.5</v>
          </cell>
          <cell r="CB10">
            <v>68.5</v>
          </cell>
          <cell r="CC10">
            <v>74.5</v>
          </cell>
          <cell r="CD10">
            <v>73</v>
          </cell>
          <cell r="CE10">
            <v>3.55</v>
          </cell>
          <cell r="CF10">
            <v>3.55</v>
          </cell>
          <cell r="CG10">
            <v>3.65</v>
          </cell>
          <cell r="CH10">
            <v>3.65</v>
          </cell>
          <cell r="CI10">
            <v>3.5</v>
          </cell>
          <cell r="CJ10">
            <v>5.75</v>
          </cell>
          <cell r="CK10">
            <v>5.45</v>
          </cell>
          <cell r="CL10">
            <v>2.75</v>
          </cell>
          <cell r="CM10">
            <v>9.25</v>
          </cell>
          <cell r="CN10">
            <v>3.4499999999999997</v>
          </cell>
          <cell r="CO10">
            <v>1.5</v>
          </cell>
          <cell r="CP10">
            <v>220</v>
          </cell>
        </row>
        <row r="11">
          <cell r="A11">
            <v>8</v>
          </cell>
          <cell r="B11">
            <v>2024</v>
          </cell>
          <cell r="C11">
            <v>0.85</v>
          </cell>
          <cell r="D11">
            <v>1.05</v>
          </cell>
          <cell r="E11">
            <v>1.25</v>
          </cell>
          <cell r="F11">
            <v>0</v>
          </cell>
          <cell r="G11">
            <v>75</v>
          </cell>
          <cell r="H11">
            <v>88.235294117647058</v>
          </cell>
          <cell r="I11">
            <v>3.9</v>
          </cell>
          <cell r="J11">
            <v>4.6000000000000005</v>
          </cell>
          <cell r="K11">
            <v>83.550000000000011</v>
          </cell>
          <cell r="L11">
            <v>79.550000000000011</v>
          </cell>
          <cell r="M11">
            <v>70.050000000000011</v>
          </cell>
          <cell r="N11">
            <v>67.550000000000011</v>
          </cell>
          <cell r="O11">
            <v>63.550000000000011</v>
          </cell>
          <cell r="P11">
            <v>82.050000000000011</v>
          </cell>
          <cell r="Q11">
            <v>89.550000000000011</v>
          </cell>
          <cell r="R11">
            <v>69.55</v>
          </cell>
          <cell r="S11">
            <v>3.9000000000000004</v>
          </cell>
          <cell r="T11">
            <v>3.7</v>
          </cell>
          <cell r="U11">
            <v>3.4000000000000004</v>
          </cell>
          <cell r="V11">
            <v>4.8500000000000005</v>
          </cell>
          <cell r="W11">
            <v>10.9</v>
          </cell>
          <cell r="X11">
            <v>33.4</v>
          </cell>
          <cell r="Y11">
            <v>50.15</v>
          </cell>
          <cell r="Z11">
            <v>83.550000000000011</v>
          </cell>
          <cell r="AA11">
            <v>49.3</v>
          </cell>
          <cell r="AB11">
            <v>9.25</v>
          </cell>
          <cell r="AC11">
            <v>28.4</v>
          </cell>
          <cell r="AD11">
            <v>42.65</v>
          </cell>
          <cell r="AE11">
            <v>71</v>
          </cell>
          <cell r="AF11">
            <v>41.900000000000006</v>
          </cell>
          <cell r="AG11">
            <v>88.235294117647058</v>
          </cell>
          <cell r="AH11">
            <v>75.650000000000006</v>
          </cell>
          <cell r="AI11">
            <v>71.950000000000017</v>
          </cell>
          <cell r="AJ11">
            <v>65.050000000000011</v>
          </cell>
          <cell r="AK11">
            <v>57.300000000000011</v>
          </cell>
          <cell r="AL11">
            <v>3.7</v>
          </cell>
          <cell r="AM11">
            <v>33.4</v>
          </cell>
          <cell r="AN11">
            <v>50.15</v>
          </cell>
          <cell r="AO11">
            <v>83.550000000000011</v>
          </cell>
          <cell r="AP11">
            <v>3.7</v>
          </cell>
          <cell r="AQ11">
            <v>3.7</v>
          </cell>
          <cell r="AR11">
            <v>3.7</v>
          </cell>
          <cell r="AS11">
            <v>3.7</v>
          </cell>
          <cell r="AT11">
            <v>3.7</v>
          </cell>
          <cell r="AU11">
            <v>3.7</v>
          </cell>
          <cell r="AV11">
            <v>83.550000000000011</v>
          </cell>
          <cell r="AW11">
            <v>0.19600000000000001</v>
          </cell>
          <cell r="AX11">
            <v>0.19600000000000001</v>
          </cell>
          <cell r="AY11">
            <v>0.19600000000000001</v>
          </cell>
          <cell r="AZ11">
            <v>0.19600000000000001</v>
          </cell>
          <cell r="BA11">
            <v>0.19600000000000001</v>
          </cell>
          <cell r="BB11">
            <v>19.863750562144144</v>
          </cell>
          <cell r="BC11">
            <v>17.480100494686845</v>
          </cell>
          <cell r="BD11">
            <v>1.4158409953928535</v>
          </cell>
          <cell r="BE11">
            <v>1</v>
          </cell>
          <cell r="BF11">
            <v>1.55</v>
          </cell>
          <cell r="BG11">
            <v>1.1500000000000001</v>
          </cell>
          <cell r="BH11">
            <v>1.9500000000000002</v>
          </cell>
          <cell r="BI11">
            <v>1.75</v>
          </cell>
          <cell r="BJ11">
            <v>75.199999999999989</v>
          </cell>
          <cell r="BK11">
            <v>62.65</v>
          </cell>
          <cell r="BL11">
            <v>50.15</v>
          </cell>
          <cell r="BM11">
            <v>3.8</v>
          </cell>
          <cell r="BN11">
            <v>0.28316819907857066</v>
          </cell>
          <cell r="BO11">
            <v>50</v>
          </cell>
          <cell r="BP11">
            <v>66</v>
          </cell>
          <cell r="BQ11">
            <v>70</v>
          </cell>
          <cell r="BR11">
            <v>72.5</v>
          </cell>
          <cell r="BS11">
            <v>73</v>
          </cell>
          <cell r="BT11">
            <v>70</v>
          </cell>
          <cell r="BU11">
            <v>69</v>
          </cell>
          <cell r="BV11">
            <v>70</v>
          </cell>
          <cell r="BW11">
            <v>76</v>
          </cell>
          <cell r="BX11">
            <v>74</v>
          </cell>
          <cell r="BY11">
            <v>67</v>
          </cell>
          <cell r="BZ11">
            <v>76.400000000000006</v>
          </cell>
          <cell r="CA11">
            <v>73.5</v>
          </cell>
          <cell r="CB11">
            <v>68.5</v>
          </cell>
          <cell r="CC11">
            <v>74.5</v>
          </cell>
          <cell r="CD11">
            <v>73</v>
          </cell>
          <cell r="CE11">
            <v>3.6999999999999997</v>
          </cell>
          <cell r="CF11">
            <v>3.6999999999999997</v>
          </cell>
          <cell r="CG11">
            <v>3.8</v>
          </cell>
          <cell r="CH11">
            <v>3.8</v>
          </cell>
          <cell r="CI11">
            <v>3.65</v>
          </cell>
          <cell r="CJ11">
            <v>5.9</v>
          </cell>
          <cell r="CK11">
            <v>5.6000000000000005</v>
          </cell>
          <cell r="CL11">
            <v>2.9000000000000004</v>
          </cell>
          <cell r="CM11">
            <v>9.4</v>
          </cell>
          <cell r="CN11">
            <v>3.5999999999999996</v>
          </cell>
          <cell r="CO11">
            <v>1.5</v>
          </cell>
          <cell r="CP11">
            <v>220</v>
          </cell>
        </row>
        <row r="12">
          <cell r="A12">
            <v>9</v>
          </cell>
          <cell r="B12">
            <v>2025</v>
          </cell>
          <cell r="C12">
            <v>0.85</v>
          </cell>
          <cell r="D12">
            <v>1.05</v>
          </cell>
          <cell r="E12">
            <v>1.25</v>
          </cell>
          <cell r="F12">
            <v>0</v>
          </cell>
          <cell r="G12">
            <v>75</v>
          </cell>
          <cell r="H12">
            <v>88.235294117647058</v>
          </cell>
          <cell r="I12">
            <v>4</v>
          </cell>
          <cell r="J12">
            <v>4.6999999999999993</v>
          </cell>
          <cell r="K12">
            <v>83.550000000000011</v>
          </cell>
          <cell r="L12">
            <v>79.550000000000011</v>
          </cell>
          <cell r="M12">
            <v>70.050000000000011</v>
          </cell>
          <cell r="N12">
            <v>67.550000000000011</v>
          </cell>
          <cell r="O12">
            <v>63.550000000000011</v>
          </cell>
          <cell r="P12">
            <v>82.050000000000011</v>
          </cell>
          <cell r="Q12">
            <v>89.550000000000011</v>
          </cell>
          <cell r="R12">
            <v>69.55</v>
          </cell>
          <cell r="S12">
            <v>4</v>
          </cell>
          <cell r="T12">
            <v>3.8</v>
          </cell>
          <cell r="U12">
            <v>3.5</v>
          </cell>
          <cell r="V12">
            <v>4.9499999999999993</v>
          </cell>
          <cell r="W12">
            <v>11.200000000000001</v>
          </cell>
          <cell r="X12">
            <v>33.4</v>
          </cell>
          <cell r="Y12">
            <v>50.15</v>
          </cell>
          <cell r="Z12">
            <v>83.550000000000011</v>
          </cell>
          <cell r="AA12">
            <v>49.3</v>
          </cell>
          <cell r="AB12">
            <v>9.5</v>
          </cell>
          <cell r="AC12">
            <v>28.4</v>
          </cell>
          <cell r="AD12">
            <v>42.65</v>
          </cell>
          <cell r="AE12">
            <v>71</v>
          </cell>
          <cell r="AF12">
            <v>41.900000000000006</v>
          </cell>
          <cell r="AG12">
            <v>88.235294117647058</v>
          </cell>
          <cell r="AH12">
            <v>75.650000000000006</v>
          </cell>
          <cell r="AI12">
            <v>71.950000000000017</v>
          </cell>
          <cell r="AJ12">
            <v>65.050000000000011</v>
          </cell>
          <cell r="AK12">
            <v>57.300000000000011</v>
          </cell>
          <cell r="AL12">
            <v>3.8</v>
          </cell>
          <cell r="AM12">
            <v>33.4</v>
          </cell>
          <cell r="AN12">
            <v>50.15</v>
          </cell>
          <cell r="AO12">
            <v>83.550000000000011</v>
          </cell>
          <cell r="AP12">
            <v>3.8</v>
          </cell>
          <cell r="AQ12">
            <v>3.8</v>
          </cell>
          <cell r="AR12">
            <v>3.8</v>
          </cell>
          <cell r="AS12">
            <v>3.8</v>
          </cell>
          <cell r="AT12">
            <v>3.8</v>
          </cell>
          <cell r="AU12">
            <v>3.8</v>
          </cell>
          <cell r="AV12">
            <v>83.550000000000011</v>
          </cell>
          <cell r="AW12">
            <v>0.19600000000000001</v>
          </cell>
          <cell r="AX12">
            <v>0.19600000000000001</v>
          </cell>
          <cell r="AY12">
            <v>0.19600000000000001</v>
          </cell>
          <cell r="AZ12">
            <v>0.19600000000000001</v>
          </cell>
          <cell r="BA12">
            <v>0.19600000000000001</v>
          </cell>
          <cell r="BB12">
            <v>19.863750562144144</v>
          </cell>
          <cell r="BC12">
            <v>17.480100494686845</v>
          </cell>
          <cell r="BD12">
            <v>1.4158409953928535</v>
          </cell>
          <cell r="BE12">
            <v>1</v>
          </cell>
          <cell r="BF12">
            <v>1.6</v>
          </cell>
          <cell r="BG12">
            <v>1.2</v>
          </cell>
          <cell r="BH12">
            <v>2</v>
          </cell>
          <cell r="BI12">
            <v>1.7999999999999998</v>
          </cell>
          <cell r="BJ12">
            <v>75.199999999999989</v>
          </cell>
          <cell r="BK12">
            <v>62.65</v>
          </cell>
          <cell r="BL12">
            <v>50.15</v>
          </cell>
          <cell r="BM12">
            <v>3.9000000000000004</v>
          </cell>
          <cell r="BN12">
            <v>0.28316819907857066</v>
          </cell>
          <cell r="BO12">
            <v>50</v>
          </cell>
          <cell r="BP12">
            <v>66</v>
          </cell>
          <cell r="BQ12">
            <v>70</v>
          </cell>
          <cell r="BR12">
            <v>72.5</v>
          </cell>
          <cell r="BS12">
            <v>73</v>
          </cell>
          <cell r="BT12">
            <v>70</v>
          </cell>
          <cell r="BU12">
            <v>69</v>
          </cell>
          <cell r="BV12">
            <v>70</v>
          </cell>
          <cell r="BW12">
            <v>76</v>
          </cell>
          <cell r="BX12">
            <v>74</v>
          </cell>
          <cell r="BY12">
            <v>67</v>
          </cell>
          <cell r="BZ12">
            <v>76.400000000000006</v>
          </cell>
          <cell r="CA12">
            <v>73.5</v>
          </cell>
          <cell r="CB12">
            <v>68.5</v>
          </cell>
          <cell r="CC12">
            <v>74.5</v>
          </cell>
          <cell r="CD12">
            <v>73</v>
          </cell>
          <cell r="CE12">
            <v>3.8</v>
          </cell>
          <cell r="CF12">
            <v>3.8</v>
          </cell>
          <cell r="CG12">
            <v>3.9</v>
          </cell>
          <cell r="CH12">
            <v>3.9</v>
          </cell>
          <cell r="CI12">
            <v>3.75</v>
          </cell>
          <cell r="CJ12">
            <v>6</v>
          </cell>
          <cell r="CK12">
            <v>5.7</v>
          </cell>
          <cell r="CL12">
            <v>3</v>
          </cell>
          <cell r="CM12">
            <v>9.5</v>
          </cell>
          <cell r="CN12">
            <v>3.75</v>
          </cell>
          <cell r="CO12">
            <v>1.5</v>
          </cell>
          <cell r="CP12">
            <v>220</v>
          </cell>
        </row>
        <row r="13">
          <cell r="A13">
            <v>10</v>
          </cell>
          <cell r="B13">
            <v>2026</v>
          </cell>
          <cell r="C13">
            <v>0.85</v>
          </cell>
          <cell r="D13">
            <v>1.05</v>
          </cell>
          <cell r="E13">
            <v>1.25</v>
          </cell>
          <cell r="F13">
            <v>0</v>
          </cell>
          <cell r="G13">
            <v>75</v>
          </cell>
          <cell r="H13">
            <v>88.235294117647058</v>
          </cell>
          <cell r="I13">
            <v>4.05</v>
          </cell>
          <cell r="J13">
            <v>4.75</v>
          </cell>
          <cell r="K13">
            <v>83.550000000000011</v>
          </cell>
          <cell r="L13">
            <v>79.550000000000011</v>
          </cell>
          <cell r="M13">
            <v>70.050000000000011</v>
          </cell>
          <cell r="N13">
            <v>67.550000000000011</v>
          </cell>
          <cell r="O13">
            <v>63.550000000000011</v>
          </cell>
          <cell r="P13">
            <v>82.050000000000011</v>
          </cell>
          <cell r="Q13">
            <v>89.550000000000011</v>
          </cell>
          <cell r="R13">
            <v>69.55</v>
          </cell>
          <cell r="S13">
            <v>4.0500000000000007</v>
          </cell>
          <cell r="T13">
            <v>3.8500000000000005</v>
          </cell>
          <cell r="U13">
            <v>3.5500000000000007</v>
          </cell>
          <cell r="V13">
            <v>5</v>
          </cell>
          <cell r="W13">
            <v>11.35</v>
          </cell>
          <cell r="X13">
            <v>33.4</v>
          </cell>
          <cell r="Y13">
            <v>50.15</v>
          </cell>
          <cell r="Z13">
            <v>83.550000000000011</v>
          </cell>
          <cell r="AA13">
            <v>49.3</v>
          </cell>
          <cell r="AB13">
            <v>9.65</v>
          </cell>
          <cell r="AC13">
            <v>28.4</v>
          </cell>
          <cell r="AD13">
            <v>42.65</v>
          </cell>
          <cell r="AE13">
            <v>71</v>
          </cell>
          <cell r="AF13">
            <v>41.900000000000006</v>
          </cell>
          <cell r="AG13">
            <v>88.235294117647058</v>
          </cell>
          <cell r="AH13">
            <v>75.650000000000006</v>
          </cell>
          <cell r="AI13">
            <v>71.950000000000017</v>
          </cell>
          <cell r="AJ13">
            <v>65.050000000000011</v>
          </cell>
          <cell r="AK13">
            <v>57.300000000000011</v>
          </cell>
          <cell r="AL13">
            <v>3.8500000000000005</v>
          </cell>
          <cell r="AM13">
            <v>33.4</v>
          </cell>
          <cell r="AN13">
            <v>50.15</v>
          </cell>
          <cell r="AO13">
            <v>83.550000000000011</v>
          </cell>
          <cell r="AP13">
            <v>3.8500000000000005</v>
          </cell>
          <cell r="AQ13">
            <v>3.8500000000000005</v>
          </cell>
          <cell r="AR13">
            <v>3.8500000000000005</v>
          </cell>
          <cell r="AS13">
            <v>3.8500000000000005</v>
          </cell>
          <cell r="AT13">
            <v>3.8500000000000005</v>
          </cell>
          <cell r="AU13">
            <v>3.8500000000000005</v>
          </cell>
          <cell r="AV13">
            <v>83.550000000000011</v>
          </cell>
          <cell r="AW13">
            <v>0.19600000000000001</v>
          </cell>
          <cell r="AX13">
            <v>0.19600000000000001</v>
          </cell>
          <cell r="AY13">
            <v>0.19600000000000001</v>
          </cell>
          <cell r="AZ13">
            <v>0.19600000000000001</v>
          </cell>
          <cell r="BA13">
            <v>0.19600000000000001</v>
          </cell>
          <cell r="BB13">
            <v>19.863750562144144</v>
          </cell>
          <cell r="BC13">
            <v>17.480100494686845</v>
          </cell>
          <cell r="BD13">
            <v>1.4158409953928535</v>
          </cell>
          <cell r="BE13">
            <v>1</v>
          </cell>
          <cell r="BF13">
            <v>1.6</v>
          </cell>
          <cell r="BG13">
            <v>1.2</v>
          </cell>
          <cell r="BH13">
            <v>2.0499999999999998</v>
          </cell>
          <cell r="BI13">
            <v>1.7999999999999998</v>
          </cell>
          <cell r="BJ13">
            <v>75.199999999999989</v>
          </cell>
          <cell r="BK13">
            <v>62.65</v>
          </cell>
          <cell r="BL13">
            <v>50.15</v>
          </cell>
          <cell r="BM13">
            <v>3.95</v>
          </cell>
          <cell r="BN13">
            <v>0.28316819907857066</v>
          </cell>
          <cell r="BO13">
            <v>50</v>
          </cell>
          <cell r="BP13">
            <v>66</v>
          </cell>
          <cell r="BQ13">
            <v>70</v>
          </cell>
          <cell r="BR13">
            <v>72.5</v>
          </cell>
          <cell r="BS13">
            <v>73</v>
          </cell>
          <cell r="BT13">
            <v>70</v>
          </cell>
          <cell r="BU13">
            <v>69</v>
          </cell>
          <cell r="BV13">
            <v>70</v>
          </cell>
          <cell r="BW13">
            <v>76</v>
          </cell>
          <cell r="BX13">
            <v>74</v>
          </cell>
          <cell r="BY13">
            <v>67</v>
          </cell>
          <cell r="BZ13">
            <v>76.400000000000006</v>
          </cell>
          <cell r="CA13">
            <v>73.5</v>
          </cell>
          <cell r="CB13">
            <v>68.5</v>
          </cell>
          <cell r="CC13">
            <v>74.5</v>
          </cell>
          <cell r="CD13">
            <v>73</v>
          </cell>
          <cell r="CE13">
            <v>3.8499999999999996</v>
          </cell>
          <cell r="CF13">
            <v>3.8499999999999996</v>
          </cell>
          <cell r="CG13">
            <v>3.9499999999999997</v>
          </cell>
          <cell r="CH13">
            <v>3.9499999999999997</v>
          </cell>
          <cell r="CI13">
            <v>3.8</v>
          </cell>
          <cell r="CJ13">
            <v>6.05</v>
          </cell>
          <cell r="CK13">
            <v>5.75</v>
          </cell>
          <cell r="CL13">
            <v>3.05</v>
          </cell>
          <cell r="CM13">
            <v>9.5500000000000007</v>
          </cell>
          <cell r="CN13">
            <v>3.85</v>
          </cell>
          <cell r="CO13">
            <v>1.5</v>
          </cell>
          <cell r="CP13">
            <v>220</v>
          </cell>
        </row>
        <row r="14">
          <cell r="A14">
            <v>11</v>
          </cell>
          <cell r="B14">
            <v>2027</v>
          </cell>
          <cell r="C14">
            <v>0.85</v>
          </cell>
          <cell r="D14">
            <v>1.05</v>
          </cell>
          <cell r="E14">
            <v>1.25</v>
          </cell>
          <cell r="F14">
            <v>0</v>
          </cell>
          <cell r="G14">
            <v>75</v>
          </cell>
          <cell r="H14">
            <v>88.235294117647058</v>
          </cell>
          <cell r="I14">
            <v>4.0999999999999996</v>
          </cell>
          <cell r="J14">
            <v>4.8</v>
          </cell>
          <cell r="K14">
            <v>83.550000000000011</v>
          </cell>
          <cell r="L14">
            <v>79.550000000000011</v>
          </cell>
          <cell r="M14">
            <v>70.050000000000011</v>
          </cell>
          <cell r="N14">
            <v>67.550000000000011</v>
          </cell>
          <cell r="O14">
            <v>63.550000000000011</v>
          </cell>
          <cell r="P14">
            <v>82.050000000000011</v>
          </cell>
          <cell r="Q14">
            <v>89.550000000000011</v>
          </cell>
          <cell r="R14">
            <v>69.55</v>
          </cell>
          <cell r="S14">
            <v>4.0999999999999996</v>
          </cell>
          <cell r="T14">
            <v>3.8999999999999995</v>
          </cell>
          <cell r="U14">
            <v>3.5999999999999996</v>
          </cell>
          <cell r="V14">
            <v>5.05</v>
          </cell>
          <cell r="W14">
            <v>11.5</v>
          </cell>
          <cell r="X14">
            <v>33.4</v>
          </cell>
          <cell r="Y14">
            <v>50.15</v>
          </cell>
          <cell r="Z14">
            <v>83.550000000000011</v>
          </cell>
          <cell r="AA14">
            <v>49.3</v>
          </cell>
          <cell r="AB14">
            <v>9.8000000000000007</v>
          </cell>
          <cell r="AC14">
            <v>28.4</v>
          </cell>
          <cell r="AD14">
            <v>42.65</v>
          </cell>
          <cell r="AE14">
            <v>71</v>
          </cell>
          <cell r="AF14">
            <v>41.900000000000006</v>
          </cell>
          <cell r="AG14">
            <v>88.235294117647058</v>
          </cell>
          <cell r="AH14">
            <v>75.650000000000006</v>
          </cell>
          <cell r="AI14">
            <v>71.950000000000017</v>
          </cell>
          <cell r="AJ14">
            <v>65.050000000000011</v>
          </cell>
          <cell r="AK14">
            <v>57.300000000000011</v>
          </cell>
          <cell r="AL14">
            <v>3.8999999999999995</v>
          </cell>
          <cell r="AM14">
            <v>33.4</v>
          </cell>
          <cell r="AN14">
            <v>50.15</v>
          </cell>
          <cell r="AO14">
            <v>83.550000000000011</v>
          </cell>
          <cell r="AP14">
            <v>3.8999999999999995</v>
          </cell>
          <cell r="AQ14">
            <v>3.8999999999999995</v>
          </cell>
          <cell r="AR14">
            <v>3.8999999999999995</v>
          </cell>
          <cell r="AS14">
            <v>3.8999999999999995</v>
          </cell>
          <cell r="AT14">
            <v>3.8999999999999995</v>
          </cell>
          <cell r="AU14">
            <v>3.8999999999999995</v>
          </cell>
          <cell r="AV14">
            <v>83.550000000000011</v>
          </cell>
          <cell r="AW14">
            <v>0.19600000000000001</v>
          </cell>
          <cell r="AX14">
            <v>0.19600000000000001</v>
          </cell>
          <cell r="AY14">
            <v>0.19600000000000001</v>
          </cell>
          <cell r="AZ14">
            <v>0.19600000000000001</v>
          </cell>
          <cell r="BA14">
            <v>0.19600000000000001</v>
          </cell>
          <cell r="BB14">
            <v>19.863750562144144</v>
          </cell>
          <cell r="BC14">
            <v>17.480100494686845</v>
          </cell>
          <cell r="BD14">
            <v>1.4158409953928535</v>
          </cell>
          <cell r="BE14">
            <v>1.05</v>
          </cell>
          <cell r="BF14">
            <v>1.6500000000000001</v>
          </cell>
          <cell r="BG14">
            <v>1.25</v>
          </cell>
          <cell r="BH14">
            <v>2.0499999999999998</v>
          </cell>
          <cell r="BI14">
            <v>1.85</v>
          </cell>
          <cell r="BJ14">
            <v>75.199999999999989</v>
          </cell>
          <cell r="BK14">
            <v>62.65</v>
          </cell>
          <cell r="BL14">
            <v>50.15</v>
          </cell>
          <cell r="BM14">
            <v>4</v>
          </cell>
          <cell r="BN14">
            <v>0.28316819907857066</v>
          </cell>
          <cell r="BO14">
            <v>50</v>
          </cell>
          <cell r="BP14">
            <v>66</v>
          </cell>
          <cell r="BQ14">
            <v>70</v>
          </cell>
          <cell r="BR14">
            <v>72.5</v>
          </cell>
          <cell r="BS14">
            <v>73</v>
          </cell>
          <cell r="BT14">
            <v>70</v>
          </cell>
          <cell r="BU14">
            <v>69</v>
          </cell>
          <cell r="BV14">
            <v>70</v>
          </cell>
          <cell r="BW14">
            <v>76</v>
          </cell>
          <cell r="BX14">
            <v>74</v>
          </cell>
          <cell r="BY14">
            <v>67</v>
          </cell>
          <cell r="BZ14">
            <v>76.400000000000006</v>
          </cell>
          <cell r="CA14">
            <v>73.5</v>
          </cell>
          <cell r="CB14">
            <v>68.5</v>
          </cell>
          <cell r="CC14">
            <v>74.5</v>
          </cell>
          <cell r="CD14">
            <v>73</v>
          </cell>
          <cell r="CE14">
            <v>3.8999999999999995</v>
          </cell>
          <cell r="CF14">
            <v>3.8999999999999995</v>
          </cell>
          <cell r="CG14">
            <v>3.9999999999999996</v>
          </cell>
          <cell r="CH14">
            <v>3.9999999999999996</v>
          </cell>
          <cell r="CI14">
            <v>3.8499999999999996</v>
          </cell>
          <cell r="CJ14">
            <v>6.1</v>
          </cell>
          <cell r="CK14">
            <v>5.8</v>
          </cell>
          <cell r="CL14">
            <v>3.0999999999999996</v>
          </cell>
          <cell r="CM14">
            <v>9.6</v>
          </cell>
          <cell r="CN14">
            <v>3.9000000000000004</v>
          </cell>
          <cell r="CO14">
            <v>1.5</v>
          </cell>
          <cell r="CP14">
            <v>220</v>
          </cell>
        </row>
        <row r="15">
          <cell r="A15">
            <v>12</v>
          </cell>
          <cell r="B15">
            <v>2028</v>
          </cell>
          <cell r="C15">
            <v>0.85</v>
          </cell>
          <cell r="D15">
            <v>1.05</v>
          </cell>
          <cell r="E15">
            <v>1.25</v>
          </cell>
          <cell r="F15">
            <v>0</v>
          </cell>
          <cell r="G15">
            <v>75</v>
          </cell>
          <cell r="H15">
            <v>88.235294117647058</v>
          </cell>
          <cell r="I15">
            <v>4.0999999999999996</v>
          </cell>
          <cell r="J15">
            <v>4.8</v>
          </cell>
          <cell r="K15">
            <v>83.550000000000011</v>
          </cell>
          <cell r="L15">
            <v>79.550000000000011</v>
          </cell>
          <cell r="M15">
            <v>70.050000000000011</v>
          </cell>
          <cell r="N15">
            <v>67.550000000000011</v>
          </cell>
          <cell r="O15">
            <v>63.550000000000011</v>
          </cell>
          <cell r="P15">
            <v>82.050000000000011</v>
          </cell>
          <cell r="Q15">
            <v>89.550000000000011</v>
          </cell>
          <cell r="R15">
            <v>69.55</v>
          </cell>
          <cell r="S15">
            <v>4.0999999999999996</v>
          </cell>
          <cell r="T15">
            <v>3.8999999999999995</v>
          </cell>
          <cell r="U15">
            <v>3.5999999999999996</v>
          </cell>
          <cell r="V15">
            <v>5.05</v>
          </cell>
          <cell r="W15">
            <v>11.5</v>
          </cell>
          <cell r="X15">
            <v>33.4</v>
          </cell>
          <cell r="Y15">
            <v>50.15</v>
          </cell>
          <cell r="Z15">
            <v>83.550000000000011</v>
          </cell>
          <cell r="AA15">
            <v>49.3</v>
          </cell>
          <cell r="AB15">
            <v>9.8000000000000007</v>
          </cell>
          <cell r="AC15">
            <v>28.4</v>
          </cell>
          <cell r="AD15">
            <v>42.65</v>
          </cell>
          <cell r="AE15">
            <v>71</v>
          </cell>
          <cell r="AF15">
            <v>41.900000000000006</v>
          </cell>
          <cell r="AG15">
            <v>88.235294117647058</v>
          </cell>
          <cell r="AH15">
            <v>75.650000000000006</v>
          </cell>
          <cell r="AI15">
            <v>71.950000000000017</v>
          </cell>
          <cell r="AJ15">
            <v>65.050000000000011</v>
          </cell>
          <cell r="AK15">
            <v>57.300000000000011</v>
          </cell>
          <cell r="AL15">
            <v>3.8999999999999995</v>
          </cell>
          <cell r="AM15">
            <v>33.4</v>
          </cell>
          <cell r="AN15">
            <v>50.15</v>
          </cell>
          <cell r="AO15">
            <v>83.550000000000011</v>
          </cell>
          <cell r="AP15">
            <v>3.8999999999999995</v>
          </cell>
          <cell r="AQ15">
            <v>3.8999999999999995</v>
          </cell>
          <cell r="AR15">
            <v>3.8999999999999995</v>
          </cell>
          <cell r="AS15">
            <v>3.8999999999999995</v>
          </cell>
          <cell r="AT15">
            <v>3.8999999999999995</v>
          </cell>
          <cell r="AU15">
            <v>3.8999999999999995</v>
          </cell>
          <cell r="AV15">
            <v>83.550000000000011</v>
          </cell>
          <cell r="AW15">
            <v>0.19600000000000001</v>
          </cell>
          <cell r="AX15">
            <v>0.19600000000000001</v>
          </cell>
          <cell r="AY15">
            <v>0.19600000000000001</v>
          </cell>
          <cell r="AZ15">
            <v>0.19600000000000001</v>
          </cell>
          <cell r="BA15">
            <v>0.19600000000000001</v>
          </cell>
          <cell r="BB15">
            <v>19.863750562144144</v>
          </cell>
          <cell r="BC15">
            <v>17.480100494686845</v>
          </cell>
          <cell r="BD15">
            <v>1.4158409953928535</v>
          </cell>
          <cell r="BE15">
            <v>1.05</v>
          </cell>
          <cell r="BF15">
            <v>1.6500000000000001</v>
          </cell>
          <cell r="BG15">
            <v>1.25</v>
          </cell>
          <cell r="BH15">
            <v>2.0499999999999998</v>
          </cell>
          <cell r="BI15">
            <v>1.85</v>
          </cell>
          <cell r="BJ15">
            <v>75.199999999999989</v>
          </cell>
          <cell r="BK15">
            <v>62.65</v>
          </cell>
          <cell r="BL15">
            <v>50.15</v>
          </cell>
          <cell r="BM15">
            <v>4</v>
          </cell>
          <cell r="BN15">
            <v>0.28316819907857066</v>
          </cell>
          <cell r="BO15">
            <v>50</v>
          </cell>
          <cell r="BP15">
            <v>66</v>
          </cell>
          <cell r="BQ15">
            <v>70</v>
          </cell>
          <cell r="BR15">
            <v>72.5</v>
          </cell>
          <cell r="BS15">
            <v>73</v>
          </cell>
          <cell r="BT15">
            <v>70</v>
          </cell>
          <cell r="BU15">
            <v>69</v>
          </cell>
          <cell r="BV15">
            <v>70</v>
          </cell>
          <cell r="BW15">
            <v>76</v>
          </cell>
          <cell r="BX15">
            <v>74</v>
          </cell>
          <cell r="BY15">
            <v>67</v>
          </cell>
          <cell r="BZ15">
            <v>76.400000000000006</v>
          </cell>
          <cell r="CA15">
            <v>73.5</v>
          </cell>
          <cell r="CB15">
            <v>68.5</v>
          </cell>
          <cell r="CC15">
            <v>74.5</v>
          </cell>
          <cell r="CD15">
            <v>73</v>
          </cell>
          <cell r="CE15">
            <v>3.8999999999999995</v>
          </cell>
          <cell r="CF15">
            <v>3.8999999999999995</v>
          </cell>
          <cell r="CG15">
            <v>3.9999999999999996</v>
          </cell>
          <cell r="CH15">
            <v>3.9999999999999996</v>
          </cell>
          <cell r="CI15">
            <v>3.8499999999999996</v>
          </cell>
          <cell r="CJ15">
            <v>6.1</v>
          </cell>
          <cell r="CK15">
            <v>5.8</v>
          </cell>
          <cell r="CL15">
            <v>3.0999999999999996</v>
          </cell>
          <cell r="CM15">
            <v>9.6</v>
          </cell>
          <cell r="CN15">
            <v>3.95</v>
          </cell>
          <cell r="CO15">
            <v>1.5</v>
          </cell>
          <cell r="CP15">
            <v>220</v>
          </cell>
        </row>
        <row r="16">
          <cell r="A16">
            <v>13</v>
          </cell>
          <cell r="B16">
            <v>2029</v>
          </cell>
          <cell r="C16">
            <v>0.85</v>
          </cell>
          <cell r="D16">
            <v>1.05</v>
          </cell>
          <cell r="E16">
            <v>1.25</v>
          </cell>
          <cell r="F16">
            <v>0</v>
          </cell>
          <cell r="G16">
            <v>75</v>
          </cell>
          <cell r="H16">
            <v>88.235294117647058</v>
          </cell>
          <cell r="I16">
            <v>4.0999999999999996</v>
          </cell>
          <cell r="J16">
            <v>4.8</v>
          </cell>
          <cell r="K16">
            <v>83.550000000000011</v>
          </cell>
          <cell r="L16">
            <v>79.550000000000011</v>
          </cell>
          <cell r="M16">
            <v>70.050000000000011</v>
          </cell>
          <cell r="N16">
            <v>67.550000000000011</v>
          </cell>
          <cell r="O16">
            <v>63.550000000000011</v>
          </cell>
          <cell r="P16">
            <v>82.050000000000011</v>
          </cell>
          <cell r="Q16">
            <v>89.550000000000011</v>
          </cell>
          <cell r="R16">
            <v>69.55</v>
          </cell>
          <cell r="S16">
            <v>4.0999999999999996</v>
          </cell>
          <cell r="T16">
            <v>3.8999999999999995</v>
          </cell>
          <cell r="U16">
            <v>3.5999999999999996</v>
          </cell>
          <cell r="V16">
            <v>5.05</v>
          </cell>
          <cell r="W16">
            <v>11.5</v>
          </cell>
          <cell r="X16">
            <v>33.4</v>
          </cell>
          <cell r="Y16">
            <v>50.15</v>
          </cell>
          <cell r="Z16">
            <v>83.550000000000011</v>
          </cell>
          <cell r="AA16">
            <v>49.3</v>
          </cell>
          <cell r="AB16">
            <v>9.8000000000000007</v>
          </cell>
          <cell r="AC16">
            <v>28.4</v>
          </cell>
          <cell r="AD16">
            <v>42.65</v>
          </cell>
          <cell r="AE16">
            <v>71</v>
          </cell>
          <cell r="AF16">
            <v>41.900000000000006</v>
          </cell>
          <cell r="AG16">
            <v>88.235294117647058</v>
          </cell>
          <cell r="AH16">
            <v>75.650000000000006</v>
          </cell>
          <cell r="AI16">
            <v>71.950000000000017</v>
          </cell>
          <cell r="AJ16">
            <v>65.050000000000011</v>
          </cell>
          <cell r="AK16">
            <v>57.300000000000011</v>
          </cell>
          <cell r="AL16">
            <v>3.8999999999999995</v>
          </cell>
          <cell r="AM16">
            <v>33.4</v>
          </cell>
          <cell r="AN16">
            <v>50.15</v>
          </cell>
          <cell r="AO16">
            <v>83.550000000000011</v>
          </cell>
          <cell r="AP16">
            <v>3.8999999999999995</v>
          </cell>
          <cell r="AQ16">
            <v>3.8999999999999995</v>
          </cell>
          <cell r="AR16">
            <v>3.8999999999999995</v>
          </cell>
          <cell r="AS16">
            <v>3.8999999999999995</v>
          </cell>
          <cell r="AT16">
            <v>3.8999999999999995</v>
          </cell>
          <cell r="AU16">
            <v>3.8999999999999995</v>
          </cell>
          <cell r="AV16">
            <v>83.550000000000011</v>
          </cell>
          <cell r="AW16">
            <v>0.19600000000000001</v>
          </cell>
          <cell r="AX16">
            <v>0.19600000000000001</v>
          </cell>
          <cell r="AY16">
            <v>0.19600000000000001</v>
          </cell>
          <cell r="AZ16">
            <v>0.19600000000000001</v>
          </cell>
          <cell r="BA16">
            <v>0.19600000000000001</v>
          </cell>
          <cell r="BB16">
            <v>19.863750562144144</v>
          </cell>
          <cell r="BC16">
            <v>17.480100494686845</v>
          </cell>
          <cell r="BD16">
            <v>1.4158409953928535</v>
          </cell>
          <cell r="BE16">
            <v>1.05</v>
          </cell>
          <cell r="BF16">
            <v>1.6500000000000001</v>
          </cell>
          <cell r="BG16">
            <v>1.25</v>
          </cell>
          <cell r="BH16">
            <v>2.0499999999999998</v>
          </cell>
          <cell r="BI16">
            <v>1.85</v>
          </cell>
          <cell r="BJ16">
            <v>75.199999999999989</v>
          </cell>
          <cell r="BK16">
            <v>62.65</v>
          </cell>
          <cell r="BL16">
            <v>50.15</v>
          </cell>
          <cell r="BM16">
            <v>4</v>
          </cell>
          <cell r="BN16">
            <v>0.28316819907857066</v>
          </cell>
          <cell r="BO16">
            <v>50</v>
          </cell>
          <cell r="BP16">
            <v>66</v>
          </cell>
          <cell r="BQ16">
            <v>70</v>
          </cell>
          <cell r="BR16">
            <v>72.5</v>
          </cell>
          <cell r="BS16">
            <v>73</v>
          </cell>
          <cell r="BT16">
            <v>70</v>
          </cell>
          <cell r="BU16">
            <v>69</v>
          </cell>
          <cell r="BV16">
            <v>70</v>
          </cell>
          <cell r="BW16">
            <v>76</v>
          </cell>
          <cell r="BX16">
            <v>74</v>
          </cell>
          <cell r="BY16">
            <v>67</v>
          </cell>
          <cell r="BZ16">
            <v>76.400000000000006</v>
          </cell>
          <cell r="CA16">
            <v>73.5</v>
          </cell>
          <cell r="CB16">
            <v>68.5</v>
          </cell>
          <cell r="CC16">
            <v>74.5</v>
          </cell>
          <cell r="CD16">
            <v>73</v>
          </cell>
          <cell r="CE16">
            <v>3.8999999999999995</v>
          </cell>
          <cell r="CF16">
            <v>3.8999999999999995</v>
          </cell>
          <cell r="CG16">
            <v>3.9999999999999996</v>
          </cell>
          <cell r="CH16">
            <v>3.9999999999999996</v>
          </cell>
          <cell r="CI16">
            <v>3.8499999999999996</v>
          </cell>
          <cell r="CJ16">
            <v>6.1</v>
          </cell>
          <cell r="CK16">
            <v>5.8</v>
          </cell>
          <cell r="CL16">
            <v>3.0999999999999996</v>
          </cell>
          <cell r="CM16">
            <v>9.6</v>
          </cell>
          <cell r="CN16">
            <v>3.95</v>
          </cell>
          <cell r="CO16">
            <v>1.5</v>
          </cell>
          <cell r="CP16">
            <v>220</v>
          </cell>
        </row>
        <row r="17">
          <cell r="A17">
            <v>14</v>
          </cell>
          <cell r="B17">
            <v>2030</v>
          </cell>
          <cell r="C17">
            <v>0.85</v>
          </cell>
          <cell r="D17">
            <v>1.05</v>
          </cell>
          <cell r="E17">
            <v>1.25</v>
          </cell>
          <cell r="F17">
            <v>0</v>
          </cell>
          <cell r="G17">
            <v>75</v>
          </cell>
          <cell r="H17">
            <v>88.235294117647058</v>
          </cell>
          <cell r="I17">
            <v>4.0999999999999996</v>
          </cell>
          <cell r="J17">
            <v>4.8</v>
          </cell>
          <cell r="K17">
            <v>83.550000000000011</v>
          </cell>
          <cell r="L17">
            <v>79.550000000000011</v>
          </cell>
          <cell r="M17">
            <v>70.050000000000011</v>
          </cell>
          <cell r="N17">
            <v>67.550000000000011</v>
          </cell>
          <cell r="O17">
            <v>63.550000000000011</v>
          </cell>
          <cell r="P17">
            <v>82.050000000000011</v>
          </cell>
          <cell r="Q17">
            <v>89.550000000000011</v>
          </cell>
          <cell r="R17">
            <v>69.55</v>
          </cell>
          <cell r="S17">
            <v>4.0999999999999996</v>
          </cell>
          <cell r="T17">
            <v>3.8999999999999995</v>
          </cell>
          <cell r="U17">
            <v>3.5999999999999996</v>
          </cell>
          <cell r="V17">
            <v>5.05</v>
          </cell>
          <cell r="W17">
            <v>11.5</v>
          </cell>
          <cell r="X17">
            <v>33.4</v>
          </cell>
          <cell r="Y17">
            <v>50.15</v>
          </cell>
          <cell r="Z17">
            <v>83.550000000000011</v>
          </cell>
          <cell r="AA17">
            <v>49.3</v>
          </cell>
          <cell r="AB17">
            <v>9.8000000000000007</v>
          </cell>
          <cell r="AC17">
            <v>28.4</v>
          </cell>
          <cell r="AD17">
            <v>42.65</v>
          </cell>
          <cell r="AE17">
            <v>71</v>
          </cell>
          <cell r="AF17">
            <v>41.900000000000006</v>
          </cell>
          <cell r="AG17">
            <v>88.235294117647058</v>
          </cell>
          <cell r="AH17">
            <v>75.650000000000006</v>
          </cell>
          <cell r="AI17">
            <v>71.950000000000017</v>
          </cell>
          <cell r="AJ17">
            <v>65.050000000000011</v>
          </cell>
          <cell r="AK17">
            <v>57.300000000000011</v>
          </cell>
          <cell r="AL17">
            <v>3.8999999999999995</v>
          </cell>
          <cell r="AM17">
            <v>33.4</v>
          </cell>
          <cell r="AN17">
            <v>50.15</v>
          </cell>
          <cell r="AO17">
            <v>83.550000000000011</v>
          </cell>
          <cell r="AP17">
            <v>3.8999999999999995</v>
          </cell>
          <cell r="AQ17">
            <v>3.8999999999999995</v>
          </cell>
          <cell r="AR17">
            <v>3.8999999999999995</v>
          </cell>
          <cell r="AS17">
            <v>3.8999999999999995</v>
          </cell>
          <cell r="AT17">
            <v>3.8999999999999995</v>
          </cell>
          <cell r="AU17">
            <v>3.8999999999999995</v>
          </cell>
          <cell r="AV17">
            <v>83.550000000000011</v>
          </cell>
          <cell r="AW17">
            <v>0.19600000000000001</v>
          </cell>
          <cell r="AX17">
            <v>0.19600000000000001</v>
          </cell>
          <cell r="AY17">
            <v>0.19600000000000001</v>
          </cell>
          <cell r="AZ17">
            <v>0.19600000000000001</v>
          </cell>
          <cell r="BA17">
            <v>0.19600000000000001</v>
          </cell>
          <cell r="BB17">
            <v>19.863750562144144</v>
          </cell>
          <cell r="BC17">
            <v>17.480100494686845</v>
          </cell>
          <cell r="BD17">
            <v>1.4158409953928535</v>
          </cell>
          <cell r="BE17">
            <v>1.05</v>
          </cell>
          <cell r="BF17">
            <v>1.6500000000000001</v>
          </cell>
          <cell r="BG17">
            <v>1.25</v>
          </cell>
          <cell r="BH17">
            <v>2.0499999999999998</v>
          </cell>
          <cell r="BI17">
            <v>1.85</v>
          </cell>
          <cell r="BJ17">
            <v>75.199999999999989</v>
          </cell>
          <cell r="BK17">
            <v>62.65</v>
          </cell>
          <cell r="BL17">
            <v>50.15</v>
          </cell>
          <cell r="BM17">
            <v>4</v>
          </cell>
          <cell r="BN17">
            <v>0.28316819907857066</v>
          </cell>
          <cell r="BO17">
            <v>50</v>
          </cell>
          <cell r="BP17">
            <v>66</v>
          </cell>
          <cell r="BQ17">
            <v>70</v>
          </cell>
          <cell r="BR17">
            <v>72.5</v>
          </cell>
          <cell r="BS17">
            <v>73</v>
          </cell>
          <cell r="BT17">
            <v>70</v>
          </cell>
          <cell r="BU17">
            <v>69</v>
          </cell>
          <cell r="BV17">
            <v>70</v>
          </cell>
          <cell r="BW17">
            <v>76</v>
          </cell>
          <cell r="BX17">
            <v>74</v>
          </cell>
          <cell r="BY17">
            <v>67</v>
          </cell>
          <cell r="BZ17">
            <v>76.400000000000006</v>
          </cell>
          <cell r="CA17">
            <v>73.5</v>
          </cell>
          <cell r="CB17">
            <v>68.5</v>
          </cell>
          <cell r="CC17">
            <v>74.5</v>
          </cell>
          <cell r="CD17">
            <v>73</v>
          </cell>
          <cell r="CE17">
            <v>3.8999999999999995</v>
          </cell>
          <cell r="CF17">
            <v>3.8999999999999995</v>
          </cell>
          <cell r="CG17">
            <v>3.9999999999999996</v>
          </cell>
          <cell r="CH17">
            <v>3.9999999999999996</v>
          </cell>
          <cell r="CI17">
            <v>3.8499999999999996</v>
          </cell>
          <cell r="CJ17">
            <v>6.1</v>
          </cell>
          <cell r="CK17">
            <v>5.8</v>
          </cell>
          <cell r="CL17">
            <v>3.0999999999999996</v>
          </cell>
          <cell r="CM17">
            <v>9.6</v>
          </cell>
          <cell r="CN17">
            <v>3.95</v>
          </cell>
          <cell r="CO17">
            <v>1.5</v>
          </cell>
          <cell r="CP17">
            <v>220</v>
          </cell>
        </row>
        <row r="18">
          <cell r="A18">
            <v>15</v>
          </cell>
          <cell r="B18">
            <v>2031</v>
          </cell>
          <cell r="C18">
            <v>0.85</v>
          </cell>
          <cell r="D18">
            <v>1.05</v>
          </cell>
          <cell r="E18">
            <v>1.25</v>
          </cell>
          <cell r="F18">
            <v>0</v>
          </cell>
          <cell r="G18">
            <v>75</v>
          </cell>
          <cell r="H18">
            <v>88.235294117647058</v>
          </cell>
          <cell r="I18">
            <v>4.0999999999999996</v>
          </cell>
          <cell r="J18">
            <v>4.8</v>
          </cell>
          <cell r="K18">
            <v>83.550000000000011</v>
          </cell>
          <cell r="L18">
            <v>79.550000000000011</v>
          </cell>
          <cell r="M18">
            <v>70.050000000000011</v>
          </cell>
          <cell r="N18">
            <v>67.550000000000011</v>
          </cell>
          <cell r="O18">
            <v>63.550000000000011</v>
          </cell>
          <cell r="P18">
            <v>82.050000000000011</v>
          </cell>
          <cell r="Q18">
            <v>89.550000000000011</v>
          </cell>
          <cell r="R18">
            <v>69.55</v>
          </cell>
          <cell r="S18">
            <v>4.0999999999999996</v>
          </cell>
          <cell r="T18">
            <v>3.8999999999999995</v>
          </cell>
          <cell r="U18">
            <v>3.5999999999999996</v>
          </cell>
          <cell r="V18">
            <v>5.05</v>
          </cell>
          <cell r="W18">
            <v>11.5</v>
          </cell>
          <cell r="X18">
            <v>33.4</v>
          </cell>
          <cell r="Y18">
            <v>50.15</v>
          </cell>
          <cell r="Z18">
            <v>83.550000000000011</v>
          </cell>
          <cell r="AA18">
            <v>49.3</v>
          </cell>
          <cell r="AB18">
            <v>9.8000000000000007</v>
          </cell>
          <cell r="AC18">
            <v>28.4</v>
          </cell>
          <cell r="AD18">
            <v>42.65</v>
          </cell>
          <cell r="AE18">
            <v>71</v>
          </cell>
          <cell r="AF18">
            <v>41.900000000000006</v>
          </cell>
          <cell r="AG18">
            <v>88.235294117647058</v>
          </cell>
          <cell r="AH18">
            <v>75.650000000000006</v>
          </cell>
          <cell r="AI18">
            <v>71.950000000000017</v>
          </cell>
          <cell r="AJ18">
            <v>65.050000000000011</v>
          </cell>
          <cell r="AK18">
            <v>57.300000000000011</v>
          </cell>
          <cell r="AL18">
            <v>3.8999999999999995</v>
          </cell>
          <cell r="AM18">
            <v>33.4</v>
          </cell>
          <cell r="AN18">
            <v>50.15</v>
          </cell>
          <cell r="AO18">
            <v>83.550000000000011</v>
          </cell>
          <cell r="AP18">
            <v>3.8999999999999995</v>
          </cell>
          <cell r="AQ18">
            <v>3.8999999999999995</v>
          </cell>
          <cell r="AR18">
            <v>3.8999999999999995</v>
          </cell>
          <cell r="AS18">
            <v>3.8999999999999995</v>
          </cell>
          <cell r="AT18">
            <v>3.8999999999999995</v>
          </cell>
          <cell r="AU18">
            <v>3.8999999999999995</v>
          </cell>
          <cell r="AV18">
            <v>83.550000000000011</v>
          </cell>
          <cell r="AW18">
            <v>0.19600000000000001</v>
          </cell>
          <cell r="AX18">
            <v>0.19600000000000001</v>
          </cell>
          <cell r="AY18">
            <v>0.19600000000000001</v>
          </cell>
          <cell r="AZ18">
            <v>0.19600000000000001</v>
          </cell>
          <cell r="BA18">
            <v>0.19600000000000001</v>
          </cell>
          <cell r="BB18">
            <v>19.863750562144144</v>
          </cell>
          <cell r="BC18">
            <v>17.480100494686845</v>
          </cell>
          <cell r="BD18">
            <v>1.4158409953928535</v>
          </cell>
          <cell r="BE18">
            <v>1.05</v>
          </cell>
          <cell r="BF18">
            <v>1.6500000000000001</v>
          </cell>
          <cell r="BG18">
            <v>1.25</v>
          </cell>
          <cell r="BH18">
            <v>2.0499999999999998</v>
          </cell>
          <cell r="BI18">
            <v>1.85</v>
          </cell>
          <cell r="BJ18">
            <v>75.199999999999989</v>
          </cell>
          <cell r="BK18">
            <v>62.65</v>
          </cell>
          <cell r="BL18">
            <v>50.15</v>
          </cell>
          <cell r="BM18">
            <v>4</v>
          </cell>
          <cell r="BN18">
            <v>0.28316819907857066</v>
          </cell>
          <cell r="BO18">
            <v>50</v>
          </cell>
          <cell r="BP18">
            <v>66</v>
          </cell>
          <cell r="BQ18">
            <v>70</v>
          </cell>
          <cell r="BR18">
            <v>72.5</v>
          </cell>
          <cell r="BS18">
            <v>73</v>
          </cell>
          <cell r="BT18">
            <v>70</v>
          </cell>
          <cell r="BU18">
            <v>69</v>
          </cell>
          <cell r="BV18">
            <v>70</v>
          </cell>
          <cell r="BW18">
            <v>76</v>
          </cell>
          <cell r="BX18">
            <v>74</v>
          </cell>
          <cell r="BY18">
            <v>67</v>
          </cell>
          <cell r="BZ18">
            <v>76.400000000000006</v>
          </cell>
          <cell r="CA18">
            <v>73.5</v>
          </cell>
          <cell r="CB18">
            <v>68.5</v>
          </cell>
          <cell r="CC18">
            <v>74.5</v>
          </cell>
          <cell r="CD18">
            <v>73</v>
          </cell>
          <cell r="CE18">
            <v>3.8999999999999995</v>
          </cell>
          <cell r="CF18">
            <v>3.8999999999999995</v>
          </cell>
          <cell r="CG18">
            <v>3.9999999999999996</v>
          </cell>
          <cell r="CH18">
            <v>3.9999999999999996</v>
          </cell>
          <cell r="CI18">
            <v>3.8499999999999996</v>
          </cell>
          <cell r="CJ18">
            <v>6.1</v>
          </cell>
          <cell r="CK18">
            <v>5.8</v>
          </cell>
          <cell r="CL18">
            <v>3.0999999999999996</v>
          </cell>
          <cell r="CM18">
            <v>9.6</v>
          </cell>
          <cell r="CN18">
            <v>3.95</v>
          </cell>
          <cell r="CO18">
            <v>1.5</v>
          </cell>
          <cell r="CP18">
            <v>220</v>
          </cell>
        </row>
        <row r="19">
          <cell r="A19">
            <v>16</v>
          </cell>
          <cell r="B19">
            <v>2032</v>
          </cell>
          <cell r="C19">
            <v>0.85</v>
          </cell>
          <cell r="D19">
            <v>1.05</v>
          </cell>
          <cell r="E19">
            <v>1.25</v>
          </cell>
          <cell r="F19">
            <v>0</v>
          </cell>
          <cell r="G19">
            <v>75</v>
          </cell>
          <cell r="H19">
            <v>88.235294117647058</v>
          </cell>
          <cell r="I19">
            <v>4.0999999999999996</v>
          </cell>
          <cell r="J19">
            <v>4.8</v>
          </cell>
          <cell r="K19">
            <v>83.550000000000011</v>
          </cell>
          <cell r="L19">
            <v>79.550000000000011</v>
          </cell>
          <cell r="M19">
            <v>70.050000000000011</v>
          </cell>
          <cell r="N19">
            <v>67.550000000000011</v>
          </cell>
          <cell r="O19">
            <v>63.550000000000011</v>
          </cell>
          <cell r="P19">
            <v>82.050000000000011</v>
          </cell>
          <cell r="Q19">
            <v>89.550000000000011</v>
          </cell>
          <cell r="R19">
            <v>69.55</v>
          </cell>
          <cell r="S19">
            <v>4.0999999999999996</v>
          </cell>
          <cell r="T19">
            <v>3.8999999999999995</v>
          </cell>
          <cell r="U19">
            <v>3.5999999999999996</v>
          </cell>
          <cell r="V19">
            <v>5.05</v>
          </cell>
          <cell r="W19">
            <v>11.5</v>
          </cell>
          <cell r="X19">
            <v>33.4</v>
          </cell>
          <cell r="Y19">
            <v>50.15</v>
          </cell>
          <cell r="Z19">
            <v>83.550000000000011</v>
          </cell>
          <cell r="AA19">
            <v>49.3</v>
          </cell>
          <cell r="AB19">
            <v>9.8000000000000007</v>
          </cell>
          <cell r="AC19">
            <v>28.4</v>
          </cell>
          <cell r="AD19">
            <v>42.65</v>
          </cell>
          <cell r="AE19">
            <v>71</v>
          </cell>
          <cell r="AF19">
            <v>41.900000000000006</v>
          </cell>
          <cell r="AG19">
            <v>88.235294117647058</v>
          </cell>
          <cell r="AH19">
            <v>75.650000000000006</v>
          </cell>
          <cell r="AI19">
            <v>71.950000000000017</v>
          </cell>
          <cell r="AJ19">
            <v>65.050000000000011</v>
          </cell>
          <cell r="AK19">
            <v>57.300000000000011</v>
          </cell>
          <cell r="AL19">
            <v>3.8999999999999995</v>
          </cell>
          <cell r="AM19">
            <v>33.4</v>
          </cell>
          <cell r="AN19">
            <v>50.15</v>
          </cell>
          <cell r="AO19">
            <v>83.550000000000011</v>
          </cell>
          <cell r="AP19">
            <v>3.8999999999999995</v>
          </cell>
          <cell r="AQ19">
            <v>3.8999999999999995</v>
          </cell>
          <cell r="AR19">
            <v>3.8999999999999995</v>
          </cell>
          <cell r="AS19">
            <v>3.8999999999999995</v>
          </cell>
          <cell r="AT19">
            <v>3.8999999999999995</v>
          </cell>
          <cell r="AU19">
            <v>3.8999999999999995</v>
          </cell>
          <cell r="AV19">
            <v>83.550000000000011</v>
          </cell>
          <cell r="AW19">
            <v>0.19600000000000001</v>
          </cell>
          <cell r="AX19">
            <v>0.19600000000000001</v>
          </cell>
          <cell r="AY19">
            <v>0.19600000000000001</v>
          </cell>
          <cell r="AZ19">
            <v>0.19600000000000001</v>
          </cell>
          <cell r="BA19">
            <v>0.19600000000000001</v>
          </cell>
          <cell r="BB19">
            <v>19.863750562144144</v>
          </cell>
          <cell r="BC19">
            <v>17.480100494686845</v>
          </cell>
          <cell r="BD19">
            <v>1.4158409953928535</v>
          </cell>
          <cell r="BE19">
            <v>1.05</v>
          </cell>
          <cell r="BF19">
            <v>1.6500000000000001</v>
          </cell>
          <cell r="BG19">
            <v>1.25</v>
          </cell>
          <cell r="BH19">
            <v>2.0499999999999998</v>
          </cell>
          <cell r="BI19">
            <v>1.85</v>
          </cell>
          <cell r="BJ19">
            <v>75.199999999999989</v>
          </cell>
          <cell r="BK19">
            <v>62.65</v>
          </cell>
          <cell r="BL19">
            <v>50.15</v>
          </cell>
          <cell r="BM19">
            <v>4</v>
          </cell>
          <cell r="BN19">
            <v>0.28316819907857066</v>
          </cell>
          <cell r="BO19">
            <v>50</v>
          </cell>
          <cell r="BP19">
            <v>66</v>
          </cell>
          <cell r="BQ19">
            <v>70</v>
          </cell>
          <cell r="BR19">
            <v>72.5</v>
          </cell>
          <cell r="BS19">
            <v>73</v>
          </cell>
          <cell r="BT19">
            <v>70</v>
          </cell>
          <cell r="BU19">
            <v>69</v>
          </cell>
          <cell r="BV19">
            <v>70</v>
          </cell>
          <cell r="BW19">
            <v>76</v>
          </cell>
          <cell r="BX19">
            <v>74</v>
          </cell>
          <cell r="BY19">
            <v>67</v>
          </cell>
          <cell r="BZ19">
            <v>76.400000000000006</v>
          </cell>
          <cell r="CA19">
            <v>73.5</v>
          </cell>
          <cell r="CB19">
            <v>68.5</v>
          </cell>
          <cell r="CC19">
            <v>74.5</v>
          </cell>
          <cell r="CD19">
            <v>73</v>
          </cell>
          <cell r="CE19">
            <v>3.8999999999999995</v>
          </cell>
          <cell r="CF19">
            <v>3.8999999999999995</v>
          </cell>
          <cell r="CG19">
            <v>3.9999999999999996</v>
          </cell>
          <cell r="CH19">
            <v>3.9999999999999996</v>
          </cell>
          <cell r="CI19">
            <v>3.8499999999999996</v>
          </cell>
          <cell r="CJ19">
            <v>6.1</v>
          </cell>
          <cell r="CK19">
            <v>5.8</v>
          </cell>
          <cell r="CL19">
            <v>3.0999999999999996</v>
          </cell>
          <cell r="CM19">
            <v>9.6</v>
          </cell>
          <cell r="CN19">
            <v>3.95</v>
          </cell>
          <cell r="CO19">
            <v>1.5</v>
          </cell>
          <cell r="CP19">
            <v>220</v>
          </cell>
        </row>
        <row r="20">
          <cell r="A20">
            <v>17</v>
          </cell>
          <cell r="B20">
            <v>2033</v>
          </cell>
          <cell r="C20">
            <v>0.85</v>
          </cell>
          <cell r="D20">
            <v>1.05</v>
          </cell>
          <cell r="E20">
            <v>1.25</v>
          </cell>
          <cell r="F20">
            <v>0</v>
          </cell>
          <cell r="G20">
            <v>75</v>
          </cell>
          <cell r="H20">
            <v>88.235294117647058</v>
          </cell>
          <cell r="I20">
            <v>4.0999999999999996</v>
          </cell>
          <cell r="J20">
            <v>4.8</v>
          </cell>
          <cell r="K20">
            <v>83.550000000000011</v>
          </cell>
          <cell r="L20">
            <v>79.550000000000011</v>
          </cell>
          <cell r="M20">
            <v>70.050000000000011</v>
          </cell>
          <cell r="N20">
            <v>67.550000000000011</v>
          </cell>
          <cell r="O20">
            <v>63.550000000000011</v>
          </cell>
          <cell r="P20">
            <v>82.050000000000011</v>
          </cell>
          <cell r="Q20">
            <v>89.550000000000011</v>
          </cell>
          <cell r="R20">
            <v>69.55</v>
          </cell>
          <cell r="S20">
            <v>4.0999999999999996</v>
          </cell>
          <cell r="T20">
            <v>3.8999999999999995</v>
          </cell>
          <cell r="U20">
            <v>3.5999999999999996</v>
          </cell>
          <cell r="V20">
            <v>5.05</v>
          </cell>
          <cell r="W20">
            <v>11.5</v>
          </cell>
          <cell r="X20">
            <v>33.4</v>
          </cell>
          <cell r="Y20">
            <v>50.15</v>
          </cell>
          <cell r="Z20">
            <v>83.550000000000011</v>
          </cell>
          <cell r="AA20">
            <v>49.3</v>
          </cell>
          <cell r="AB20">
            <v>9.8000000000000007</v>
          </cell>
          <cell r="AC20">
            <v>28.4</v>
          </cell>
          <cell r="AD20">
            <v>42.65</v>
          </cell>
          <cell r="AE20">
            <v>71</v>
          </cell>
          <cell r="AF20">
            <v>41.900000000000006</v>
          </cell>
          <cell r="AG20">
            <v>88.235294117647058</v>
          </cell>
          <cell r="AH20">
            <v>75.650000000000006</v>
          </cell>
          <cell r="AI20">
            <v>71.950000000000017</v>
          </cell>
          <cell r="AJ20">
            <v>65.050000000000011</v>
          </cell>
          <cell r="AK20">
            <v>57.300000000000011</v>
          </cell>
          <cell r="AL20">
            <v>3.8999999999999995</v>
          </cell>
          <cell r="AM20">
            <v>33.4</v>
          </cell>
          <cell r="AN20">
            <v>50.15</v>
          </cell>
          <cell r="AO20">
            <v>83.550000000000011</v>
          </cell>
          <cell r="AP20">
            <v>3.8999999999999995</v>
          </cell>
          <cell r="AQ20">
            <v>3.8999999999999995</v>
          </cell>
          <cell r="AR20">
            <v>3.8999999999999995</v>
          </cell>
          <cell r="AS20">
            <v>3.8999999999999995</v>
          </cell>
          <cell r="AT20">
            <v>3.8999999999999995</v>
          </cell>
          <cell r="AU20">
            <v>3.8999999999999995</v>
          </cell>
          <cell r="AV20">
            <v>83.550000000000011</v>
          </cell>
          <cell r="AW20">
            <v>0.19600000000000001</v>
          </cell>
          <cell r="AX20">
            <v>0.19600000000000001</v>
          </cell>
          <cell r="AY20">
            <v>0.19600000000000001</v>
          </cell>
          <cell r="AZ20">
            <v>0.19600000000000001</v>
          </cell>
          <cell r="BA20">
            <v>0.19600000000000001</v>
          </cell>
          <cell r="BB20">
            <v>19.863750562144144</v>
          </cell>
          <cell r="BC20">
            <v>17.480100494686845</v>
          </cell>
          <cell r="BD20">
            <v>1.4158409953928535</v>
          </cell>
          <cell r="BE20">
            <v>1.05</v>
          </cell>
          <cell r="BF20">
            <v>1.6500000000000001</v>
          </cell>
          <cell r="BG20">
            <v>1.25</v>
          </cell>
          <cell r="BH20">
            <v>2.0499999999999998</v>
          </cell>
          <cell r="BI20">
            <v>1.85</v>
          </cell>
          <cell r="BJ20">
            <v>75.199999999999989</v>
          </cell>
          <cell r="BK20">
            <v>62.65</v>
          </cell>
          <cell r="BL20">
            <v>50.15</v>
          </cell>
          <cell r="BM20">
            <v>4</v>
          </cell>
          <cell r="BN20">
            <v>0.28316819907857066</v>
          </cell>
          <cell r="BO20">
            <v>50</v>
          </cell>
          <cell r="BP20">
            <v>66</v>
          </cell>
          <cell r="BQ20">
            <v>70</v>
          </cell>
          <cell r="BR20">
            <v>72.5</v>
          </cell>
          <cell r="BS20">
            <v>73</v>
          </cell>
          <cell r="BT20">
            <v>70</v>
          </cell>
          <cell r="BU20">
            <v>69</v>
          </cell>
          <cell r="BV20">
            <v>70</v>
          </cell>
          <cell r="BW20">
            <v>76</v>
          </cell>
          <cell r="BX20">
            <v>74</v>
          </cell>
          <cell r="BY20">
            <v>67</v>
          </cell>
          <cell r="BZ20">
            <v>76.400000000000006</v>
          </cell>
          <cell r="CA20">
            <v>73.5</v>
          </cell>
          <cell r="CB20">
            <v>68.5</v>
          </cell>
          <cell r="CC20">
            <v>74.5</v>
          </cell>
          <cell r="CD20">
            <v>73</v>
          </cell>
          <cell r="CE20">
            <v>3.8999999999999995</v>
          </cell>
          <cell r="CF20">
            <v>3.8999999999999995</v>
          </cell>
          <cell r="CG20">
            <v>3.9999999999999996</v>
          </cell>
          <cell r="CH20">
            <v>3.9999999999999996</v>
          </cell>
          <cell r="CI20">
            <v>3.8499999999999996</v>
          </cell>
          <cell r="CJ20">
            <v>6.1</v>
          </cell>
          <cell r="CK20">
            <v>5.8</v>
          </cell>
          <cell r="CL20">
            <v>3.0999999999999996</v>
          </cell>
          <cell r="CM20">
            <v>9.6</v>
          </cell>
          <cell r="CN20">
            <v>3.95</v>
          </cell>
          <cell r="CO20">
            <v>1.5</v>
          </cell>
          <cell r="CP20">
            <v>220</v>
          </cell>
        </row>
        <row r="21">
          <cell r="A21">
            <v>18</v>
          </cell>
          <cell r="B21">
            <v>2034</v>
          </cell>
          <cell r="C21">
            <v>0.85</v>
          </cell>
          <cell r="D21">
            <v>1.05</v>
          </cell>
          <cell r="E21">
            <v>1.25</v>
          </cell>
          <cell r="F21">
            <v>0</v>
          </cell>
          <cell r="G21">
            <v>75</v>
          </cell>
          <cell r="H21">
            <v>88.235294117647058</v>
          </cell>
          <cell r="I21">
            <v>4.0999999999999996</v>
          </cell>
          <cell r="J21">
            <v>4.8</v>
          </cell>
          <cell r="K21">
            <v>83.550000000000011</v>
          </cell>
          <cell r="L21">
            <v>79.550000000000011</v>
          </cell>
          <cell r="M21">
            <v>70.050000000000011</v>
          </cell>
          <cell r="N21">
            <v>67.550000000000011</v>
          </cell>
          <cell r="O21">
            <v>63.550000000000011</v>
          </cell>
          <cell r="P21">
            <v>82.050000000000011</v>
          </cell>
          <cell r="Q21">
            <v>89.550000000000011</v>
          </cell>
          <cell r="R21">
            <v>69.55</v>
          </cell>
          <cell r="S21">
            <v>4.0999999999999996</v>
          </cell>
          <cell r="T21">
            <v>3.8999999999999995</v>
          </cell>
          <cell r="U21">
            <v>3.5999999999999996</v>
          </cell>
          <cell r="V21">
            <v>5.05</v>
          </cell>
          <cell r="W21">
            <v>11.5</v>
          </cell>
          <cell r="X21">
            <v>33.4</v>
          </cell>
          <cell r="Y21">
            <v>50.15</v>
          </cell>
          <cell r="Z21">
            <v>83.550000000000011</v>
          </cell>
          <cell r="AA21">
            <v>49.3</v>
          </cell>
          <cell r="AB21">
            <v>9.8000000000000007</v>
          </cell>
          <cell r="AC21">
            <v>28.4</v>
          </cell>
          <cell r="AD21">
            <v>42.65</v>
          </cell>
          <cell r="AE21">
            <v>71</v>
          </cell>
          <cell r="AF21">
            <v>41.900000000000006</v>
          </cell>
          <cell r="AG21">
            <v>88.235294117647058</v>
          </cell>
          <cell r="AH21">
            <v>75.650000000000006</v>
          </cell>
          <cell r="AI21">
            <v>71.950000000000017</v>
          </cell>
          <cell r="AJ21">
            <v>65.050000000000011</v>
          </cell>
          <cell r="AK21">
            <v>57.300000000000011</v>
          </cell>
          <cell r="AL21">
            <v>3.8999999999999995</v>
          </cell>
          <cell r="AM21">
            <v>33.4</v>
          </cell>
          <cell r="AN21">
            <v>50.15</v>
          </cell>
          <cell r="AO21">
            <v>83.550000000000011</v>
          </cell>
          <cell r="AP21">
            <v>3.8999999999999995</v>
          </cell>
          <cell r="AQ21">
            <v>3.8999999999999995</v>
          </cell>
          <cell r="AR21">
            <v>3.8999999999999995</v>
          </cell>
          <cell r="AS21">
            <v>3.8999999999999995</v>
          </cell>
          <cell r="AT21">
            <v>3.8999999999999995</v>
          </cell>
          <cell r="AU21">
            <v>3.8999999999999995</v>
          </cell>
          <cell r="AV21">
            <v>83.550000000000011</v>
          </cell>
          <cell r="AW21">
            <v>0.19600000000000001</v>
          </cell>
          <cell r="AX21">
            <v>0.19600000000000001</v>
          </cell>
          <cell r="AY21">
            <v>0.19600000000000001</v>
          </cell>
          <cell r="AZ21">
            <v>0.19600000000000001</v>
          </cell>
          <cell r="BA21">
            <v>0.19600000000000001</v>
          </cell>
          <cell r="BB21">
            <v>19.863750562144144</v>
          </cell>
          <cell r="BC21">
            <v>17.480100494686845</v>
          </cell>
          <cell r="BD21">
            <v>1.4158409953928535</v>
          </cell>
          <cell r="BE21">
            <v>1.05</v>
          </cell>
          <cell r="BF21">
            <v>1.6500000000000001</v>
          </cell>
          <cell r="BG21">
            <v>1.25</v>
          </cell>
          <cell r="BH21">
            <v>2.0499999999999998</v>
          </cell>
          <cell r="BI21">
            <v>1.85</v>
          </cell>
          <cell r="BJ21">
            <v>75.199999999999989</v>
          </cell>
          <cell r="BK21">
            <v>62.65</v>
          </cell>
          <cell r="BL21">
            <v>50.15</v>
          </cell>
          <cell r="BM21">
            <v>4</v>
          </cell>
          <cell r="BN21">
            <v>0.28316819907857066</v>
          </cell>
          <cell r="BO21">
            <v>50</v>
          </cell>
          <cell r="BP21">
            <v>66</v>
          </cell>
          <cell r="BQ21">
            <v>70</v>
          </cell>
          <cell r="BR21">
            <v>72.5</v>
          </cell>
          <cell r="BS21">
            <v>73</v>
          </cell>
          <cell r="BT21">
            <v>70</v>
          </cell>
          <cell r="BU21">
            <v>69</v>
          </cell>
          <cell r="BV21">
            <v>70</v>
          </cell>
          <cell r="BW21">
            <v>76</v>
          </cell>
          <cell r="BX21">
            <v>74</v>
          </cell>
          <cell r="BY21">
            <v>67</v>
          </cell>
          <cell r="BZ21">
            <v>76.400000000000006</v>
          </cell>
          <cell r="CA21">
            <v>73.5</v>
          </cell>
          <cell r="CB21">
            <v>68.5</v>
          </cell>
          <cell r="CC21">
            <v>74.5</v>
          </cell>
          <cell r="CD21">
            <v>73</v>
          </cell>
          <cell r="CE21">
            <v>3.8999999999999995</v>
          </cell>
          <cell r="CF21">
            <v>3.8999999999999995</v>
          </cell>
          <cell r="CG21">
            <v>3.9999999999999996</v>
          </cell>
          <cell r="CH21">
            <v>3.9999999999999996</v>
          </cell>
          <cell r="CI21">
            <v>3.8499999999999996</v>
          </cell>
          <cell r="CJ21">
            <v>6.1</v>
          </cell>
          <cell r="CK21">
            <v>5.8</v>
          </cell>
          <cell r="CL21">
            <v>3.0999999999999996</v>
          </cell>
          <cell r="CM21">
            <v>9.6</v>
          </cell>
          <cell r="CN21">
            <v>3.95</v>
          </cell>
          <cell r="CO21">
            <v>1.5</v>
          </cell>
          <cell r="CP21">
            <v>220</v>
          </cell>
        </row>
        <row r="22">
          <cell r="A22">
            <v>19</v>
          </cell>
          <cell r="B22">
            <v>2035</v>
          </cell>
          <cell r="C22">
            <v>0.85</v>
          </cell>
          <cell r="D22">
            <v>1.05</v>
          </cell>
          <cell r="E22">
            <v>1.25</v>
          </cell>
          <cell r="F22">
            <v>0</v>
          </cell>
          <cell r="G22">
            <v>75</v>
          </cell>
          <cell r="H22">
            <v>88.235294117647058</v>
          </cell>
          <cell r="I22">
            <v>4.0999999999999996</v>
          </cell>
          <cell r="J22">
            <v>4.8</v>
          </cell>
          <cell r="K22">
            <v>83.550000000000011</v>
          </cell>
          <cell r="L22">
            <v>79.550000000000011</v>
          </cell>
          <cell r="M22">
            <v>70.050000000000011</v>
          </cell>
          <cell r="N22">
            <v>67.550000000000011</v>
          </cell>
          <cell r="O22">
            <v>63.550000000000011</v>
          </cell>
          <cell r="P22">
            <v>82.050000000000011</v>
          </cell>
          <cell r="Q22">
            <v>89.550000000000011</v>
          </cell>
          <cell r="R22">
            <v>69.55</v>
          </cell>
          <cell r="S22">
            <v>4.0999999999999996</v>
          </cell>
          <cell r="T22">
            <v>3.8999999999999995</v>
          </cell>
          <cell r="U22">
            <v>3.5999999999999996</v>
          </cell>
          <cell r="V22">
            <v>5.05</v>
          </cell>
          <cell r="W22">
            <v>11.5</v>
          </cell>
          <cell r="X22">
            <v>33.4</v>
          </cell>
          <cell r="Y22">
            <v>50.15</v>
          </cell>
          <cell r="Z22">
            <v>83.550000000000011</v>
          </cell>
          <cell r="AA22">
            <v>49.3</v>
          </cell>
          <cell r="AB22">
            <v>9.8000000000000007</v>
          </cell>
          <cell r="AC22">
            <v>28.4</v>
          </cell>
          <cell r="AD22">
            <v>42.65</v>
          </cell>
          <cell r="AE22">
            <v>71</v>
          </cell>
          <cell r="AF22">
            <v>41.900000000000006</v>
          </cell>
          <cell r="AG22">
            <v>88.235294117647058</v>
          </cell>
          <cell r="AH22">
            <v>75.650000000000006</v>
          </cell>
          <cell r="AI22">
            <v>71.950000000000017</v>
          </cell>
          <cell r="AJ22">
            <v>65.050000000000011</v>
          </cell>
          <cell r="AK22">
            <v>57.300000000000011</v>
          </cell>
          <cell r="AL22">
            <v>3.8999999999999995</v>
          </cell>
          <cell r="AM22">
            <v>33.4</v>
          </cell>
          <cell r="AN22">
            <v>50.15</v>
          </cell>
          <cell r="AO22">
            <v>83.550000000000011</v>
          </cell>
          <cell r="AP22">
            <v>3.8999999999999995</v>
          </cell>
          <cell r="AQ22">
            <v>3.8999999999999995</v>
          </cell>
          <cell r="AR22">
            <v>3.8999999999999995</v>
          </cell>
          <cell r="AS22">
            <v>3.8999999999999995</v>
          </cell>
          <cell r="AT22">
            <v>3.8999999999999995</v>
          </cell>
          <cell r="AU22">
            <v>3.8999999999999995</v>
          </cell>
          <cell r="AV22">
            <v>83.550000000000011</v>
          </cell>
          <cell r="AW22">
            <v>0.19600000000000001</v>
          </cell>
          <cell r="AX22">
            <v>0.19600000000000001</v>
          </cell>
          <cell r="AY22">
            <v>0.19600000000000001</v>
          </cell>
          <cell r="AZ22">
            <v>0.19600000000000001</v>
          </cell>
          <cell r="BA22">
            <v>0.19600000000000001</v>
          </cell>
          <cell r="BB22">
            <v>19.863750562144144</v>
          </cell>
          <cell r="BC22">
            <v>17.480100494686845</v>
          </cell>
          <cell r="BD22">
            <v>1.4158409953928535</v>
          </cell>
          <cell r="BE22">
            <v>1.05</v>
          </cell>
          <cell r="BF22">
            <v>1.6500000000000001</v>
          </cell>
          <cell r="BG22">
            <v>1.25</v>
          </cell>
          <cell r="BH22">
            <v>2.0499999999999998</v>
          </cell>
          <cell r="BI22">
            <v>1.85</v>
          </cell>
          <cell r="BJ22">
            <v>75.199999999999989</v>
          </cell>
          <cell r="BK22">
            <v>62.65</v>
          </cell>
          <cell r="BL22">
            <v>50.15</v>
          </cell>
          <cell r="BM22">
            <v>4</v>
          </cell>
          <cell r="BN22">
            <v>0.28316819907857066</v>
          </cell>
          <cell r="BO22">
            <v>50</v>
          </cell>
          <cell r="BP22">
            <v>66</v>
          </cell>
          <cell r="BQ22">
            <v>70</v>
          </cell>
          <cell r="BR22">
            <v>72.5</v>
          </cell>
          <cell r="BS22">
            <v>73</v>
          </cell>
          <cell r="BT22">
            <v>70</v>
          </cell>
          <cell r="BU22">
            <v>69</v>
          </cell>
          <cell r="BV22">
            <v>70</v>
          </cell>
          <cell r="BW22">
            <v>76</v>
          </cell>
          <cell r="BX22">
            <v>74</v>
          </cell>
          <cell r="BY22">
            <v>67</v>
          </cell>
          <cell r="BZ22">
            <v>76.400000000000006</v>
          </cell>
          <cell r="CA22">
            <v>73.5</v>
          </cell>
          <cell r="CB22">
            <v>68.5</v>
          </cell>
          <cell r="CC22">
            <v>74.5</v>
          </cell>
          <cell r="CD22">
            <v>73</v>
          </cell>
          <cell r="CE22">
            <v>3.8999999999999995</v>
          </cell>
          <cell r="CF22">
            <v>3.8999999999999995</v>
          </cell>
          <cell r="CG22">
            <v>3.9999999999999996</v>
          </cell>
          <cell r="CH22">
            <v>3.9999999999999996</v>
          </cell>
          <cell r="CI22">
            <v>3.8499999999999996</v>
          </cell>
          <cell r="CJ22">
            <v>6.1</v>
          </cell>
          <cell r="CK22">
            <v>5.8</v>
          </cell>
          <cell r="CL22">
            <v>3.0999999999999996</v>
          </cell>
          <cell r="CM22">
            <v>9.6</v>
          </cell>
          <cell r="CN22">
            <v>3.95</v>
          </cell>
          <cell r="CO22">
            <v>1.5</v>
          </cell>
          <cell r="CP22">
            <v>220</v>
          </cell>
        </row>
        <row r="23">
          <cell r="A23">
            <v>20</v>
          </cell>
          <cell r="B23">
            <v>2036</v>
          </cell>
          <cell r="C23">
            <v>0.85</v>
          </cell>
          <cell r="D23">
            <v>1.05</v>
          </cell>
          <cell r="E23">
            <v>1.25</v>
          </cell>
          <cell r="F23">
            <v>0</v>
          </cell>
          <cell r="G23">
            <v>75</v>
          </cell>
          <cell r="H23">
            <v>88.235294117647058</v>
          </cell>
          <cell r="I23">
            <v>4.0999999999999996</v>
          </cell>
          <cell r="J23">
            <v>4.8</v>
          </cell>
          <cell r="K23">
            <v>83.550000000000011</v>
          </cell>
          <cell r="L23">
            <v>79.550000000000011</v>
          </cell>
          <cell r="M23">
            <v>70.050000000000011</v>
          </cell>
          <cell r="N23">
            <v>67.550000000000011</v>
          </cell>
          <cell r="O23">
            <v>63.550000000000011</v>
          </cell>
          <cell r="P23">
            <v>82.050000000000011</v>
          </cell>
          <cell r="Q23">
            <v>89.550000000000011</v>
          </cell>
          <cell r="R23">
            <v>69.55</v>
          </cell>
          <cell r="S23">
            <v>4.0999999999999996</v>
          </cell>
          <cell r="T23">
            <v>3.8999999999999995</v>
          </cell>
          <cell r="U23">
            <v>3.5999999999999996</v>
          </cell>
          <cell r="V23">
            <v>5.05</v>
          </cell>
          <cell r="W23">
            <v>11.5</v>
          </cell>
          <cell r="X23">
            <v>33.4</v>
          </cell>
          <cell r="Y23">
            <v>50.15</v>
          </cell>
          <cell r="Z23">
            <v>83.550000000000011</v>
          </cell>
          <cell r="AA23">
            <v>49.3</v>
          </cell>
          <cell r="AB23">
            <v>9.8000000000000007</v>
          </cell>
          <cell r="AC23">
            <v>28.4</v>
          </cell>
          <cell r="AD23">
            <v>42.65</v>
          </cell>
          <cell r="AE23">
            <v>71</v>
          </cell>
          <cell r="AF23">
            <v>41.900000000000006</v>
          </cell>
          <cell r="AG23">
            <v>88.235294117647058</v>
          </cell>
          <cell r="AH23">
            <v>75.650000000000006</v>
          </cell>
          <cell r="AI23">
            <v>71.950000000000017</v>
          </cell>
          <cell r="AJ23">
            <v>65.050000000000011</v>
          </cell>
          <cell r="AK23">
            <v>57.300000000000011</v>
          </cell>
          <cell r="AL23">
            <v>3.8999999999999995</v>
          </cell>
          <cell r="AM23">
            <v>33.4</v>
          </cell>
          <cell r="AN23">
            <v>50.15</v>
          </cell>
          <cell r="AO23">
            <v>83.550000000000011</v>
          </cell>
          <cell r="AP23">
            <v>3.8999999999999995</v>
          </cell>
          <cell r="AQ23">
            <v>3.8999999999999995</v>
          </cell>
          <cell r="AR23">
            <v>3.8999999999999995</v>
          </cell>
          <cell r="AS23">
            <v>3.8999999999999995</v>
          </cell>
          <cell r="AT23">
            <v>3.8999999999999995</v>
          </cell>
          <cell r="AU23">
            <v>3.8999999999999995</v>
          </cell>
          <cell r="AV23">
            <v>83.550000000000011</v>
          </cell>
          <cell r="AW23">
            <v>0.19600000000000001</v>
          </cell>
          <cell r="AX23">
            <v>0.19600000000000001</v>
          </cell>
          <cell r="AY23">
            <v>0.19600000000000001</v>
          </cell>
          <cell r="AZ23">
            <v>0.19600000000000001</v>
          </cell>
          <cell r="BA23">
            <v>0.19600000000000001</v>
          </cell>
          <cell r="BB23">
            <v>19.863750562144144</v>
          </cell>
          <cell r="BC23">
            <v>17.480100494686845</v>
          </cell>
          <cell r="BD23">
            <v>1.4158409953928535</v>
          </cell>
          <cell r="BE23">
            <v>1.05</v>
          </cell>
          <cell r="BF23">
            <v>1.6500000000000001</v>
          </cell>
          <cell r="BG23">
            <v>1.25</v>
          </cell>
          <cell r="BH23">
            <v>2.0499999999999998</v>
          </cell>
          <cell r="BI23">
            <v>1.85</v>
          </cell>
          <cell r="BJ23">
            <v>75.199999999999989</v>
          </cell>
          <cell r="BK23">
            <v>62.65</v>
          </cell>
          <cell r="BL23">
            <v>50.15</v>
          </cell>
          <cell r="BM23">
            <v>4</v>
          </cell>
          <cell r="BN23">
            <v>0.28316819907857066</v>
          </cell>
          <cell r="BO23">
            <v>50</v>
          </cell>
          <cell r="BP23">
            <v>66</v>
          </cell>
          <cell r="BQ23">
            <v>70</v>
          </cell>
          <cell r="BR23">
            <v>72.5</v>
          </cell>
          <cell r="BS23">
            <v>73</v>
          </cell>
          <cell r="BT23">
            <v>70</v>
          </cell>
          <cell r="BU23">
            <v>69</v>
          </cell>
          <cell r="BV23">
            <v>70</v>
          </cell>
          <cell r="BW23">
            <v>76</v>
          </cell>
          <cell r="BX23">
            <v>74</v>
          </cell>
          <cell r="BY23">
            <v>67</v>
          </cell>
          <cell r="BZ23">
            <v>76.400000000000006</v>
          </cell>
          <cell r="CA23">
            <v>73.5</v>
          </cell>
          <cell r="CB23">
            <v>68.5</v>
          </cell>
          <cell r="CC23">
            <v>74.5</v>
          </cell>
          <cell r="CD23">
            <v>73</v>
          </cell>
          <cell r="CE23">
            <v>3.8999999999999995</v>
          </cell>
          <cell r="CF23">
            <v>3.8999999999999995</v>
          </cell>
          <cell r="CG23">
            <v>3.9999999999999996</v>
          </cell>
          <cell r="CH23">
            <v>3.9999999999999996</v>
          </cell>
          <cell r="CI23">
            <v>3.8499999999999996</v>
          </cell>
          <cell r="CJ23">
            <v>6.1</v>
          </cell>
          <cell r="CK23">
            <v>5.8</v>
          </cell>
          <cell r="CL23">
            <v>3.0999999999999996</v>
          </cell>
          <cell r="CM23">
            <v>9.6</v>
          </cell>
          <cell r="CN23">
            <v>3.95</v>
          </cell>
          <cell r="CO23">
            <v>1.5</v>
          </cell>
          <cell r="CP23">
            <v>220</v>
          </cell>
        </row>
        <row r="24">
          <cell r="A24">
            <v>21</v>
          </cell>
          <cell r="B24">
            <v>2037</v>
          </cell>
          <cell r="C24">
            <v>0.85</v>
          </cell>
          <cell r="D24">
            <v>1.05</v>
          </cell>
          <cell r="E24">
            <v>1.25</v>
          </cell>
          <cell r="F24">
            <v>0</v>
          </cell>
          <cell r="G24">
            <v>75</v>
          </cell>
          <cell r="H24">
            <v>88.235294117647058</v>
          </cell>
          <cell r="I24">
            <v>4.0999999999999996</v>
          </cell>
          <cell r="J24">
            <v>4.8</v>
          </cell>
          <cell r="K24">
            <v>83.550000000000011</v>
          </cell>
          <cell r="L24">
            <v>79.550000000000011</v>
          </cell>
          <cell r="M24">
            <v>70.050000000000011</v>
          </cell>
          <cell r="N24">
            <v>67.550000000000011</v>
          </cell>
          <cell r="O24">
            <v>63.550000000000011</v>
          </cell>
          <cell r="P24">
            <v>82.050000000000011</v>
          </cell>
          <cell r="Q24">
            <v>89.550000000000011</v>
          </cell>
          <cell r="R24">
            <v>69.55</v>
          </cell>
          <cell r="S24">
            <v>4.0999999999999996</v>
          </cell>
          <cell r="T24">
            <v>3.8999999999999995</v>
          </cell>
          <cell r="U24">
            <v>3.5999999999999996</v>
          </cell>
          <cell r="V24">
            <v>5.05</v>
          </cell>
          <cell r="W24">
            <v>11.5</v>
          </cell>
          <cell r="X24">
            <v>33.4</v>
          </cell>
          <cell r="Y24">
            <v>50.15</v>
          </cell>
          <cell r="Z24">
            <v>83.550000000000011</v>
          </cell>
          <cell r="AA24">
            <v>49.3</v>
          </cell>
          <cell r="AB24">
            <v>9.8000000000000007</v>
          </cell>
          <cell r="AC24">
            <v>28.4</v>
          </cell>
          <cell r="AD24">
            <v>42.65</v>
          </cell>
          <cell r="AE24">
            <v>71</v>
          </cell>
          <cell r="AF24">
            <v>41.900000000000006</v>
          </cell>
          <cell r="AG24">
            <v>88.235294117647058</v>
          </cell>
          <cell r="AH24">
            <v>75.650000000000006</v>
          </cell>
          <cell r="AI24">
            <v>71.950000000000017</v>
          </cell>
          <cell r="AJ24">
            <v>65.050000000000011</v>
          </cell>
          <cell r="AK24">
            <v>57.300000000000011</v>
          </cell>
          <cell r="AL24">
            <v>3.8999999999999995</v>
          </cell>
          <cell r="AM24">
            <v>33.4</v>
          </cell>
          <cell r="AN24">
            <v>50.15</v>
          </cell>
          <cell r="AO24">
            <v>83.550000000000011</v>
          </cell>
          <cell r="AP24">
            <v>3.8999999999999995</v>
          </cell>
          <cell r="AQ24">
            <v>3.8999999999999995</v>
          </cell>
          <cell r="AR24">
            <v>3.8999999999999995</v>
          </cell>
          <cell r="AS24">
            <v>3.8999999999999995</v>
          </cell>
          <cell r="AT24">
            <v>3.8999999999999995</v>
          </cell>
          <cell r="AU24">
            <v>3.8999999999999995</v>
          </cell>
          <cell r="AV24">
            <v>83.550000000000011</v>
          </cell>
          <cell r="AW24">
            <v>0.19600000000000001</v>
          </cell>
          <cell r="AX24">
            <v>0.19600000000000001</v>
          </cell>
          <cell r="AY24">
            <v>0.19600000000000001</v>
          </cell>
          <cell r="AZ24">
            <v>0.19600000000000001</v>
          </cell>
          <cell r="BA24">
            <v>0.19600000000000001</v>
          </cell>
          <cell r="BB24">
            <v>19.863750562144144</v>
          </cell>
          <cell r="BC24">
            <v>17.480100494686845</v>
          </cell>
          <cell r="BD24">
            <v>1.4158409953928535</v>
          </cell>
          <cell r="BE24">
            <v>1.05</v>
          </cell>
          <cell r="BF24">
            <v>1.6500000000000001</v>
          </cell>
          <cell r="BG24">
            <v>1.25</v>
          </cell>
          <cell r="BH24">
            <v>2.0499999999999998</v>
          </cell>
          <cell r="BI24">
            <v>1.85</v>
          </cell>
          <cell r="BJ24">
            <v>75.199999999999989</v>
          </cell>
          <cell r="BK24">
            <v>62.65</v>
          </cell>
          <cell r="BL24">
            <v>50.15</v>
          </cell>
          <cell r="BM24">
            <v>4</v>
          </cell>
          <cell r="BN24">
            <v>0.28316819907857066</v>
          </cell>
          <cell r="BO24">
            <v>50</v>
          </cell>
          <cell r="BP24">
            <v>66</v>
          </cell>
          <cell r="BQ24">
            <v>70</v>
          </cell>
          <cell r="BR24">
            <v>72.5</v>
          </cell>
          <cell r="BS24">
            <v>73</v>
          </cell>
          <cell r="BT24">
            <v>70</v>
          </cell>
          <cell r="BU24">
            <v>69</v>
          </cell>
          <cell r="BV24">
            <v>70</v>
          </cell>
          <cell r="BW24">
            <v>76</v>
          </cell>
          <cell r="BX24">
            <v>74</v>
          </cell>
          <cell r="BY24">
            <v>67</v>
          </cell>
          <cell r="BZ24">
            <v>76.400000000000006</v>
          </cell>
          <cell r="CA24">
            <v>73.5</v>
          </cell>
          <cell r="CB24">
            <v>68.5</v>
          </cell>
          <cell r="CC24">
            <v>74.5</v>
          </cell>
          <cell r="CD24">
            <v>73</v>
          </cell>
          <cell r="CE24">
            <v>3.8999999999999995</v>
          </cell>
          <cell r="CF24">
            <v>3.8999999999999995</v>
          </cell>
          <cell r="CG24">
            <v>3.9999999999999996</v>
          </cell>
          <cell r="CH24">
            <v>3.9999999999999996</v>
          </cell>
          <cell r="CI24">
            <v>3.8499999999999996</v>
          </cell>
          <cell r="CJ24">
            <v>6.1</v>
          </cell>
          <cell r="CK24">
            <v>5.8</v>
          </cell>
          <cell r="CL24">
            <v>3.0999999999999996</v>
          </cell>
          <cell r="CM24">
            <v>9.6</v>
          </cell>
          <cell r="CN24">
            <v>3.95</v>
          </cell>
          <cell r="CO24">
            <v>1.5</v>
          </cell>
          <cell r="CP24">
            <v>220</v>
          </cell>
        </row>
        <row r="25">
          <cell r="A25">
            <v>22</v>
          </cell>
          <cell r="B25">
            <v>2038</v>
          </cell>
          <cell r="C25">
            <v>0.85</v>
          </cell>
          <cell r="D25">
            <v>1.05</v>
          </cell>
          <cell r="E25">
            <v>1.25</v>
          </cell>
          <cell r="F25">
            <v>0</v>
          </cell>
          <cell r="G25">
            <v>75</v>
          </cell>
          <cell r="H25">
            <v>88.235294117647058</v>
          </cell>
          <cell r="I25">
            <v>4.0999999999999996</v>
          </cell>
          <cell r="J25">
            <v>4.8</v>
          </cell>
          <cell r="K25">
            <v>83.550000000000011</v>
          </cell>
          <cell r="L25">
            <v>79.550000000000011</v>
          </cell>
          <cell r="M25">
            <v>70.050000000000011</v>
          </cell>
          <cell r="N25">
            <v>67.550000000000011</v>
          </cell>
          <cell r="O25">
            <v>63.550000000000011</v>
          </cell>
          <cell r="P25">
            <v>82.050000000000011</v>
          </cell>
          <cell r="Q25">
            <v>89.550000000000011</v>
          </cell>
          <cell r="R25">
            <v>69.55</v>
          </cell>
          <cell r="S25">
            <v>4.0999999999999996</v>
          </cell>
          <cell r="T25">
            <v>3.8999999999999995</v>
          </cell>
          <cell r="U25">
            <v>3.5999999999999996</v>
          </cell>
          <cell r="V25">
            <v>5.05</v>
          </cell>
          <cell r="W25">
            <v>11.5</v>
          </cell>
          <cell r="X25">
            <v>33.4</v>
          </cell>
          <cell r="Y25">
            <v>50.15</v>
          </cell>
          <cell r="Z25">
            <v>83.550000000000011</v>
          </cell>
          <cell r="AA25">
            <v>49.3</v>
          </cell>
          <cell r="AB25">
            <v>9.8000000000000007</v>
          </cell>
          <cell r="AC25">
            <v>28.4</v>
          </cell>
          <cell r="AD25">
            <v>42.65</v>
          </cell>
          <cell r="AE25">
            <v>71</v>
          </cell>
          <cell r="AF25">
            <v>41.900000000000006</v>
          </cell>
          <cell r="AG25">
            <v>88.235294117647058</v>
          </cell>
          <cell r="AH25">
            <v>75.650000000000006</v>
          </cell>
          <cell r="AI25">
            <v>71.950000000000017</v>
          </cell>
          <cell r="AJ25">
            <v>65.050000000000011</v>
          </cell>
          <cell r="AK25">
            <v>57.300000000000011</v>
          </cell>
          <cell r="AL25">
            <v>3.8999999999999995</v>
          </cell>
          <cell r="AM25">
            <v>33.4</v>
          </cell>
          <cell r="AN25">
            <v>50.15</v>
          </cell>
          <cell r="AO25">
            <v>83.550000000000011</v>
          </cell>
          <cell r="AP25">
            <v>3.8999999999999995</v>
          </cell>
          <cell r="AQ25">
            <v>3.8999999999999995</v>
          </cell>
          <cell r="AR25">
            <v>3.8999999999999995</v>
          </cell>
          <cell r="AS25">
            <v>3.8999999999999995</v>
          </cell>
          <cell r="AT25">
            <v>3.8999999999999995</v>
          </cell>
          <cell r="AU25">
            <v>3.8999999999999995</v>
          </cell>
          <cell r="AV25">
            <v>83.550000000000011</v>
          </cell>
          <cell r="AW25">
            <v>0.19600000000000001</v>
          </cell>
          <cell r="AX25">
            <v>0.19600000000000001</v>
          </cell>
          <cell r="AY25">
            <v>0.19600000000000001</v>
          </cell>
          <cell r="AZ25">
            <v>0.19600000000000001</v>
          </cell>
          <cell r="BA25">
            <v>0.19600000000000001</v>
          </cell>
          <cell r="BB25">
            <v>19.863750562144144</v>
          </cell>
          <cell r="BC25">
            <v>17.480100494686845</v>
          </cell>
          <cell r="BD25">
            <v>1.4158409953928535</v>
          </cell>
          <cell r="BE25">
            <v>1.05</v>
          </cell>
          <cell r="BF25">
            <v>1.6500000000000001</v>
          </cell>
          <cell r="BG25">
            <v>1.25</v>
          </cell>
          <cell r="BH25">
            <v>2.0499999999999998</v>
          </cell>
          <cell r="BI25">
            <v>1.85</v>
          </cell>
          <cell r="BJ25">
            <v>75.199999999999989</v>
          </cell>
          <cell r="BK25">
            <v>62.65</v>
          </cell>
          <cell r="BL25">
            <v>50.15</v>
          </cell>
          <cell r="BM25">
            <v>4</v>
          </cell>
          <cell r="BN25">
            <v>0.28316819907857066</v>
          </cell>
          <cell r="BO25">
            <v>50</v>
          </cell>
          <cell r="BP25">
            <v>66</v>
          </cell>
          <cell r="BQ25">
            <v>70</v>
          </cell>
          <cell r="BR25">
            <v>72.5</v>
          </cell>
          <cell r="BS25">
            <v>73</v>
          </cell>
          <cell r="BT25">
            <v>70</v>
          </cell>
          <cell r="BU25">
            <v>69</v>
          </cell>
          <cell r="BV25">
            <v>70</v>
          </cell>
          <cell r="BW25">
            <v>76</v>
          </cell>
          <cell r="BX25">
            <v>74</v>
          </cell>
          <cell r="BY25">
            <v>67</v>
          </cell>
          <cell r="BZ25">
            <v>76.400000000000006</v>
          </cell>
          <cell r="CA25">
            <v>73.5</v>
          </cell>
          <cell r="CB25">
            <v>68.5</v>
          </cell>
          <cell r="CC25">
            <v>74.5</v>
          </cell>
          <cell r="CD25">
            <v>73</v>
          </cell>
          <cell r="CE25">
            <v>3.8999999999999995</v>
          </cell>
          <cell r="CF25">
            <v>3.8999999999999995</v>
          </cell>
          <cell r="CG25">
            <v>3.9999999999999996</v>
          </cell>
          <cell r="CH25">
            <v>3.9999999999999996</v>
          </cell>
          <cell r="CI25">
            <v>3.8499999999999996</v>
          </cell>
          <cell r="CJ25">
            <v>6.1</v>
          </cell>
          <cell r="CK25">
            <v>5.8</v>
          </cell>
          <cell r="CL25">
            <v>3.0999999999999996</v>
          </cell>
          <cell r="CM25">
            <v>9.6</v>
          </cell>
          <cell r="CN25">
            <v>3.95</v>
          </cell>
          <cell r="CO25">
            <v>1.5</v>
          </cell>
          <cell r="CP25">
            <v>220</v>
          </cell>
        </row>
        <row r="26">
          <cell r="A26">
            <v>23</v>
          </cell>
          <cell r="B26">
            <v>2039</v>
          </cell>
          <cell r="C26">
            <v>0.85</v>
          </cell>
          <cell r="D26">
            <v>1.05</v>
          </cell>
          <cell r="E26">
            <v>1.25</v>
          </cell>
          <cell r="F26">
            <v>0</v>
          </cell>
          <cell r="G26">
            <v>75</v>
          </cell>
          <cell r="H26">
            <v>88.235294117647058</v>
          </cell>
          <cell r="I26">
            <v>4.0999999999999996</v>
          </cell>
          <cell r="J26">
            <v>4.8</v>
          </cell>
          <cell r="K26">
            <v>83.550000000000011</v>
          </cell>
          <cell r="L26">
            <v>79.550000000000011</v>
          </cell>
          <cell r="M26">
            <v>70.050000000000011</v>
          </cell>
          <cell r="N26">
            <v>67.550000000000011</v>
          </cell>
          <cell r="O26">
            <v>63.550000000000011</v>
          </cell>
          <cell r="P26">
            <v>82.050000000000011</v>
          </cell>
          <cell r="Q26">
            <v>89.550000000000011</v>
          </cell>
          <cell r="R26">
            <v>69.55</v>
          </cell>
          <cell r="S26">
            <v>4.0999999999999996</v>
          </cell>
          <cell r="T26">
            <v>3.8999999999999995</v>
          </cell>
          <cell r="U26">
            <v>3.5999999999999996</v>
          </cell>
          <cell r="V26">
            <v>5.05</v>
          </cell>
          <cell r="W26">
            <v>11.5</v>
          </cell>
          <cell r="X26">
            <v>33.4</v>
          </cell>
          <cell r="Y26">
            <v>50.15</v>
          </cell>
          <cell r="Z26">
            <v>83.550000000000011</v>
          </cell>
          <cell r="AA26">
            <v>49.3</v>
          </cell>
          <cell r="AB26">
            <v>9.8000000000000007</v>
          </cell>
          <cell r="AC26">
            <v>28.4</v>
          </cell>
          <cell r="AD26">
            <v>42.65</v>
          </cell>
          <cell r="AE26">
            <v>71</v>
          </cell>
          <cell r="AF26">
            <v>41.900000000000006</v>
          </cell>
          <cell r="AG26">
            <v>88.235294117647058</v>
          </cell>
          <cell r="AH26">
            <v>75.650000000000006</v>
          </cell>
          <cell r="AI26">
            <v>71.950000000000017</v>
          </cell>
          <cell r="AJ26">
            <v>65.050000000000011</v>
          </cell>
          <cell r="AK26">
            <v>57.300000000000011</v>
          </cell>
          <cell r="AL26">
            <v>3.8999999999999995</v>
          </cell>
          <cell r="AM26">
            <v>33.4</v>
          </cell>
          <cell r="AN26">
            <v>50.15</v>
          </cell>
          <cell r="AO26">
            <v>83.550000000000011</v>
          </cell>
          <cell r="AP26">
            <v>3.8999999999999995</v>
          </cell>
          <cell r="AQ26">
            <v>3.8999999999999995</v>
          </cell>
          <cell r="AR26">
            <v>3.8999999999999995</v>
          </cell>
          <cell r="AS26">
            <v>3.8999999999999995</v>
          </cell>
          <cell r="AT26">
            <v>3.8999999999999995</v>
          </cell>
          <cell r="AU26">
            <v>3.8999999999999995</v>
          </cell>
          <cell r="AV26">
            <v>83.550000000000011</v>
          </cell>
          <cell r="AW26">
            <v>0.19600000000000001</v>
          </cell>
          <cell r="AX26">
            <v>0.19600000000000001</v>
          </cell>
          <cell r="AY26">
            <v>0.19600000000000001</v>
          </cell>
          <cell r="AZ26">
            <v>0.19600000000000001</v>
          </cell>
          <cell r="BA26">
            <v>0.19600000000000001</v>
          </cell>
          <cell r="BB26">
            <v>19.863750562144144</v>
          </cell>
          <cell r="BC26">
            <v>17.480100494686845</v>
          </cell>
          <cell r="BD26">
            <v>1.4158409953928535</v>
          </cell>
          <cell r="BE26">
            <v>1.05</v>
          </cell>
          <cell r="BF26">
            <v>1.6500000000000001</v>
          </cell>
          <cell r="BG26">
            <v>1.25</v>
          </cell>
          <cell r="BH26">
            <v>2.0499999999999998</v>
          </cell>
          <cell r="BI26">
            <v>1.85</v>
          </cell>
          <cell r="BJ26">
            <v>75.199999999999989</v>
          </cell>
          <cell r="BK26">
            <v>62.65</v>
          </cell>
          <cell r="BL26">
            <v>50.15</v>
          </cell>
          <cell r="BM26">
            <v>4</v>
          </cell>
          <cell r="BN26">
            <v>0.28316819907857066</v>
          </cell>
          <cell r="BO26">
            <v>50</v>
          </cell>
          <cell r="BP26">
            <v>66</v>
          </cell>
          <cell r="BQ26">
            <v>70</v>
          </cell>
          <cell r="BR26">
            <v>72.5</v>
          </cell>
          <cell r="BS26">
            <v>73</v>
          </cell>
          <cell r="BT26">
            <v>70</v>
          </cell>
          <cell r="BU26">
            <v>69</v>
          </cell>
          <cell r="BV26">
            <v>70</v>
          </cell>
          <cell r="BW26">
            <v>76</v>
          </cell>
          <cell r="BX26">
            <v>74</v>
          </cell>
          <cell r="BY26">
            <v>67</v>
          </cell>
          <cell r="BZ26">
            <v>76.400000000000006</v>
          </cell>
          <cell r="CA26">
            <v>73.5</v>
          </cell>
          <cell r="CB26">
            <v>68.5</v>
          </cell>
          <cell r="CC26">
            <v>74.5</v>
          </cell>
          <cell r="CD26">
            <v>73</v>
          </cell>
          <cell r="CE26">
            <v>3.8999999999999995</v>
          </cell>
          <cell r="CF26">
            <v>3.8999999999999995</v>
          </cell>
          <cell r="CG26">
            <v>3.9999999999999996</v>
          </cell>
          <cell r="CH26">
            <v>3.9999999999999996</v>
          </cell>
          <cell r="CI26">
            <v>3.8499999999999996</v>
          </cell>
          <cell r="CJ26">
            <v>6.1</v>
          </cell>
          <cell r="CK26">
            <v>5.8</v>
          </cell>
          <cell r="CL26">
            <v>3.0999999999999996</v>
          </cell>
          <cell r="CM26">
            <v>9.6</v>
          </cell>
          <cell r="CN26">
            <v>3.95</v>
          </cell>
          <cell r="CO26">
            <v>1.5</v>
          </cell>
          <cell r="CP26">
            <v>220</v>
          </cell>
        </row>
        <row r="27">
          <cell r="A27">
            <v>24</v>
          </cell>
          <cell r="B27">
            <v>2040</v>
          </cell>
          <cell r="C27">
            <v>0.85</v>
          </cell>
          <cell r="D27">
            <v>1.05</v>
          </cell>
          <cell r="E27">
            <v>1.25</v>
          </cell>
          <cell r="F27">
            <v>0</v>
          </cell>
          <cell r="G27">
            <v>75</v>
          </cell>
          <cell r="H27">
            <v>88.235294117647058</v>
          </cell>
          <cell r="I27">
            <v>4.0999999999999996</v>
          </cell>
          <cell r="J27">
            <v>4.8</v>
          </cell>
          <cell r="K27">
            <v>83.550000000000011</v>
          </cell>
          <cell r="L27">
            <v>79.550000000000011</v>
          </cell>
          <cell r="M27">
            <v>70.050000000000011</v>
          </cell>
          <cell r="N27">
            <v>67.550000000000011</v>
          </cell>
          <cell r="O27">
            <v>63.550000000000011</v>
          </cell>
          <cell r="P27">
            <v>82.050000000000011</v>
          </cell>
          <cell r="Q27">
            <v>89.550000000000011</v>
          </cell>
          <cell r="R27">
            <v>69.55</v>
          </cell>
          <cell r="S27">
            <v>4.0999999999999996</v>
          </cell>
          <cell r="T27">
            <v>3.8999999999999995</v>
          </cell>
          <cell r="U27">
            <v>3.5999999999999996</v>
          </cell>
          <cell r="V27">
            <v>5.05</v>
          </cell>
          <cell r="W27">
            <v>11.5</v>
          </cell>
          <cell r="X27">
            <v>33.4</v>
          </cell>
          <cell r="Y27">
            <v>50.15</v>
          </cell>
          <cell r="Z27">
            <v>83.550000000000011</v>
          </cell>
          <cell r="AA27">
            <v>49.3</v>
          </cell>
          <cell r="AB27">
            <v>9.8000000000000007</v>
          </cell>
          <cell r="AC27">
            <v>28.4</v>
          </cell>
          <cell r="AD27">
            <v>42.65</v>
          </cell>
          <cell r="AE27">
            <v>71</v>
          </cell>
          <cell r="AF27">
            <v>41.900000000000006</v>
          </cell>
          <cell r="AG27">
            <v>88.235294117647058</v>
          </cell>
          <cell r="AH27">
            <v>75.650000000000006</v>
          </cell>
          <cell r="AI27">
            <v>71.950000000000017</v>
          </cell>
          <cell r="AJ27">
            <v>65.050000000000011</v>
          </cell>
          <cell r="AK27">
            <v>57.300000000000011</v>
          </cell>
          <cell r="AL27">
            <v>3.8999999999999995</v>
          </cell>
          <cell r="AM27">
            <v>33.4</v>
          </cell>
          <cell r="AN27">
            <v>50.15</v>
          </cell>
          <cell r="AO27">
            <v>83.550000000000011</v>
          </cell>
          <cell r="AP27">
            <v>3.8999999999999995</v>
          </cell>
          <cell r="AQ27">
            <v>3.8999999999999995</v>
          </cell>
          <cell r="AR27">
            <v>3.8999999999999995</v>
          </cell>
          <cell r="AS27">
            <v>3.8999999999999995</v>
          </cell>
          <cell r="AT27">
            <v>3.8999999999999995</v>
          </cell>
          <cell r="AU27">
            <v>3.8999999999999995</v>
          </cell>
          <cell r="AV27">
            <v>83.550000000000011</v>
          </cell>
          <cell r="AW27">
            <v>0.19600000000000001</v>
          </cell>
          <cell r="AX27">
            <v>0.19600000000000001</v>
          </cell>
          <cell r="AY27">
            <v>0.19600000000000001</v>
          </cell>
          <cell r="AZ27">
            <v>0.19600000000000001</v>
          </cell>
          <cell r="BA27">
            <v>0.19600000000000001</v>
          </cell>
          <cell r="BB27">
            <v>19.863750562144144</v>
          </cell>
          <cell r="BC27">
            <v>17.480100494686845</v>
          </cell>
          <cell r="BD27">
            <v>1.4158409953928535</v>
          </cell>
          <cell r="BE27">
            <v>1.05</v>
          </cell>
          <cell r="BF27">
            <v>1.6500000000000001</v>
          </cell>
          <cell r="BG27">
            <v>1.25</v>
          </cell>
          <cell r="BH27">
            <v>2.0499999999999998</v>
          </cell>
          <cell r="BI27">
            <v>1.85</v>
          </cell>
          <cell r="BJ27">
            <v>75.199999999999989</v>
          </cell>
          <cell r="BK27">
            <v>62.65</v>
          </cell>
          <cell r="BL27">
            <v>50.15</v>
          </cell>
          <cell r="BM27">
            <v>4</v>
          </cell>
          <cell r="BN27">
            <v>0.28316819907857066</v>
          </cell>
          <cell r="BO27">
            <v>50</v>
          </cell>
          <cell r="BP27">
            <v>66</v>
          </cell>
          <cell r="BQ27">
            <v>70</v>
          </cell>
          <cell r="BR27">
            <v>72.5</v>
          </cell>
          <cell r="BS27">
            <v>73</v>
          </cell>
          <cell r="BT27">
            <v>70</v>
          </cell>
          <cell r="BU27">
            <v>69</v>
          </cell>
          <cell r="BV27">
            <v>70</v>
          </cell>
          <cell r="BW27">
            <v>76</v>
          </cell>
          <cell r="BX27">
            <v>74</v>
          </cell>
          <cell r="BY27">
            <v>67</v>
          </cell>
          <cell r="BZ27">
            <v>76.400000000000006</v>
          </cell>
          <cell r="CA27">
            <v>73.5</v>
          </cell>
          <cell r="CB27">
            <v>68.5</v>
          </cell>
          <cell r="CC27">
            <v>74.5</v>
          </cell>
          <cell r="CD27">
            <v>73</v>
          </cell>
          <cell r="CE27">
            <v>3.8999999999999995</v>
          </cell>
          <cell r="CF27">
            <v>3.8999999999999995</v>
          </cell>
          <cell r="CG27">
            <v>3.9999999999999996</v>
          </cell>
          <cell r="CH27">
            <v>3.9999999999999996</v>
          </cell>
          <cell r="CI27">
            <v>3.8499999999999996</v>
          </cell>
          <cell r="CJ27">
            <v>6.1</v>
          </cell>
          <cell r="CK27">
            <v>5.8</v>
          </cell>
          <cell r="CL27">
            <v>3.0999999999999996</v>
          </cell>
          <cell r="CM27">
            <v>9.6</v>
          </cell>
          <cell r="CN27">
            <v>3.95</v>
          </cell>
          <cell r="CO27">
            <v>1.5</v>
          </cell>
          <cell r="CP27">
            <v>220</v>
          </cell>
        </row>
        <row r="28">
          <cell r="A28">
            <v>25</v>
          </cell>
          <cell r="B28">
            <v>2041</v>
          </cell>
          <cell r="C28">
            <v>0.85</v>
          </cell>
          <cell r="D28">
            <v>1.05</v>
          </cell>
          <cell r="E28">
            <v>1.25</v>
          </cell>
          <cell r="F28">
            <v>0</v>
          </cell>
          <cell r="G28">
            <v>75</v>
          </cell>
          <cell r="H28">
            <v>88.235294117647058</v>
          </cell>
          <cell r="I28">
            <v>4.0999999999999996</v>
          </cell>
          <cell r="J28">
            <v>4.8</v>
          </cell>
          <cell r="K28">
            <v>83.550000000000011</v>
          </cell>
          <cell r="L28">
            <v>79.550000000000011</v>
          </cell>
          <cell r="M28">
            <v>70.050000000000011</v>
          </cell>
          <cell r="N28">
            <v>67.550000000000011</v>
          </cell>
          <cell r="O28">
            <v>63.550000000000011</v>
          </cell>
          <cell r="P28">
            <v>82.050000000000011</v>
          </cell>
          <cell r="Q28">
            <v>89.550000000000011</v>
          </cell>
          <cell r="R28">
            <v>69.55</v>
          </cell>
          <cell r="S28">
            <v>4.0999999999999996</v>
          </cell>
          <cell r="T28">
            <v>3.8999999999999995</v>
          </cell>
          <cell r="U28">
            <v>3.5999999999999996</v>
          </cell>
          <cell r="V28">
            <v>5.05</v>
          </cell>
          <cell r="W28">
            <v>11.5</v>
          </cell>
          <cell r="X28">
            <v>33.4</v>
          </cell>
          <cell r="Y28">
            <v>50.15</v>
          </cell>
          <cell r="Z28">
            <v>83.550000000000011</v>
          </cell>
          <cell r="AA28">
            <v>49.3</v>
          </cell>
          <cell r="AB28">
            <v>9.8000000000000007</v>
          </cell>
          <cell r="AC28">
            <v>28.4</v>
          </cell>
          <cell r="AD28">
            <v>42.65</v>
          </cell>
          <cell r="AE28">
            <v>71</v>
          </cell>
          <cell r="AF28">
            <v>41.900000000000006</v>
          </cell>
          <cell r="AG28">
            <v>88.235294117647058</v>
          </cell>
          <cell r="AH28">
            <v>75.650000000000006</v>
          </cell>
          <cell r="AI28">
            <v>71.950000000000017</v>
          </cell>
          <cell r="AJ28">
            <v>65.050000000000011</v>
          </cell>
          <cell r="AK28">
            <v>57.300000000000011</v>
          </cell>
          <cell r="AL28">
            <v>3.8999999999999995</v>
          </cell>
          <cell r="AM28">
            <v>33.4</v>
          </cell>
          <cell r="AN28">
            <v>50.15</v>
          </cell>
          <cell r="AO28">
            <v>83.550000000000011</v>
          </cell>
          <cell r="AP28">
            <v>3.8999999999999995</v>
          </cell>
          <cell r="AQ28">
            <v>3.8999999999999995</v>
          </cell>
          <cell r="AR28">
            <v>3.8999999999999995</v>
          </cell>
          <cell r="AS28">
            <v>3.8999999999999995</v>
          </cell>
          <cell r="AT28">
            <v>3.8999999999999995</v>
          </cell>
          <cell r="AU28">
            <v>3.8999999999999995</v>
          </cell>
          <cell r="AV28">
            <v>83.550000000000011</v>
          </cell>
          <cell r="AW28">
            <v>0.19600000000000001</v>
          </cell>
          <cell r="AX28">
            <v>0.19600000000000001</v>
          </cell>
          <cell r="AY28">
            <v>0.19600000000000001</v>
          </cell>
          <cell r="AZ28">
            <v>0.19600000000000001</v>
          </cell>
          <cell r="BA28">
            <v>0.19600000000000001</v>
          </cell>
          <cell r="BB28">
            <v>19.863750562144144</v>
          </cell>
          <cell r="BC28">
            <v>17.480100494686845</v>
          </cell>
          <cell r="BD28">
            <v>1.4158409953928535</v>
          </cell>
          <cell r="BE28">
            <v>1.05</v>
          </cell>
          <cell r="BF28">
            <v>1.6500000000000001</v>
          </cell>
          <cell r="BG28">
            <v>1.25</v>
          </cell>
          <cell r="BH28">
            <v>2.0499999999999998</v>
          </cell>
          <cell r="BI28">
            <v>1.85</v>
          </cell>
          <cell r="BJ28">
            <v>75.199999999999989</v>
          </cell>
          <cell r="BK28">
            <v>62.65</v>
          </cell>
          <cell r="BL28">
            <v>50.15</v>
          </cell>
          <cell r="BM28">
            <v>4</v>
          </cell>
          <cell r="BN28">
            <v>0.28316819907857066</v>
          </cell>
          <cell r="BO28">
            <v>50</v>
          </cell>
          <cell r="BP28">
            <v>66</v>
          </cell>
          <cell r="BQ28">
            <v>70</v>
          </cell>
          <cell r="BR28">
            <v>72.5</v>
          </cell>
          <cell r="BS28">
            <v>73</v>
          </cell>
          <cell r="BT28">
            <v>70</v>
          </cell>
          <cell r="BU28">
            <v>69</v>
          </cell>
          <cell r="BV28">
            <v>70</v>
          </cell>
          <cell r="BW28">
            <v>76</v>
          </cell>
          <cell r="BX28">
            <v>74</v>
          </cell>
          <cell r="BY28">
            <v>67</v>
          </cell>
          <cell r="BZ28">
            <v>76.400000000000006</v>
          </cell>
          <cell r="CA28">
            <v>73.5</v>
          </cell>
          <cell r="CB28">
            <v>68.5</v>
          </cell>
          <cell r="CC28">
            <v>74.5</v>
          </cell>
          <cell r="CD28">
            <v>73</v>
          </cell>
          <cell r="CE28">
            <v>3.8999999999999995</v>
          </cell>
          <cell r="CF28">
            <v>3.8999999999999995</v>
          </cell>
          <cell r="CG28">
            <v>3.9999999999999996</v>
          </cell>
          <cell r="CH28">
            <v>3.9999999999999996</v>
          </cell>
          <cell r="CI28">
            <v>3.8499999999999996</v>
          </cell>
          <cell r="CJ28">
            <v>6.1</v>
          </cell>
          <cell r="CK28">
            <v>5.8</v>
          </cell>
          <cell r="CL28">
            <v>3.0999999999999996</v>
          </cell>
          <cell r="CM28">
            <v>9.6</v>
          </cell>
          <cell r="CN28">
            <v>3.95</v>
          </cell>
          <cell r="CO28">
            <v>1.5</v>
          </cell>
          <cell r="CP28">
            <v>220</v>
          </cell>
        </row>
        <row r="29">
          <cell r="A29">
            <v>26</v>
          </cell>
          <cell r="B29">
            <v>2042</v>
          </cell>
          <cell r="C29">
            <v>0.85</v>
          </cell>
          <cell r="D29">
            <v>1.05</v>
          </cell>
          <cell r="E29">
            <v>1.25</v>
          </cell>
          <cell r="F29">
            <v>0</v>
          </cell>
          <cell r="G29">
            <v>75</v>
          </cell>
          <cell r="H29">
            <v>88.235294117647058</v>
          </cell>
          <cell r="I29">
            <v>4.0999999999999996</v>
          </cell>
          <cell r="J29">
            <v>4.8</v>
          </cell>
          <cell r="K29">
            <v>83.550000000000011</v>
          </cell>
          <cell r="L29">
            <v>79.550000000000011</v>
          </cell>
          <cell r="M29">
            <v>70.050000000000011</v>
          </cell>
          <cell r="N29">
            <v>67.550000000000011</v>
          </cell>
          <cell r="O29">
            <v>63.550000000000011</v>
          </cell>
          <cell r="P29">
            <v>82.050000000000011</v>
          </cell>
          <cell r="Q29">
            <v>89.550000000000011</v>
          </cell>
          <cell r="R29">
            <v>69.55</v>
          </cell>
          <cell r="S29">
            <v>4.0999999999999996</v>
          </cell>
          <cell r="T29">
            <v>3.8999999999999995</v>
          </cell>
          <cell r="U29">
            <v>3.5999999999999996</v>
          </cell>
          <cell r="V29">
            <v>5.05</v>
          </cell>
          <cell r="W29">
            <v>11.5</v>
          </cell>
          <cell r="X29">
            <v>33.4</v>
          </cell>
          <cell r="Y29">
            <v>50.15</v>
          </cell>
          <cell r="Z29">
            <v>83.550000000000011</v>
          </cell>
          <cell r="AA29">
            <v>49.3</v>
          </cell>
          <cell r="AB29">
            <v>9.8000000000000007</v>
          </cell>
          <cell r="AC29">
            <v>28.4</v>
          </cell>
          <cell r="AD29">
            <v>42.65</v>
          </cell>
          <cell r="AE29">
            <v>71</v>
          </cell>
          <cell r="AF29">
            <v>41.900000000000006</v>
          </cell>
          <cell r="AG29">
            <v>88.235294117647058</v>
          </cell>
          <cell r="AH29">
            <v>75.650000000000006</v>
          </cell>
          <cell r="AI29">
            <v>71.950000000000017</v>
          </cell>
          <cell r="AJ29">
            <v>65.050000000000011</v>
          </cell>
          <cell r="AK29">
            <v>57.300000000000011</v>
          </cell>
          <cell r="AL29">
            <v>3.8999999999999995</v>
          </cell>
          <cell r="AM29">
            <v>33.4</v>
          </cell>
          <cell r="AN29">
            <v>50.15</v>
          </cell>
          <cell r="AO29">
            <v>83.550000000000011</v>
          </cell>
          <cell r="AP29">
            <v>3.8999999999999995</v>
          </cell>
          <cell r="AQ29">
            <v>3.8999999999999995</v>
          </cell>
          <cell r="AR29">
            <v>3.8999999999999995</v>
          </cell>
          <cell r="AS29">
            <v>3.8999999999999995</v>
          </cell>
          <cell r="AT29">
            <v>3.8999999999999995</v>
          </cell>
          <cell r="AU29">
            <v>3.8999999999999995</v>
          </cell>
          <cell r="AV29">
            <v>83.550000000000011</v>
          </cell>
          <cell r="AW29">
            <v>0.19600000000000001</v>
          </cell>
          <cell r="AX29">
            <v>0.19600000000000001</v>
          </cell>
          <cell r="AY29">
            <v>0.19600000000000001</v>
          </cell>
          <cell r="AZ29">
            <v>0.19600000000000001</v>
          </cell>
          <cell r="BA29">
            <v>0.19600000000000001</v>
          </cell>
          <cell r="BB29">
            <v>19.863750562144144</v>
          </cell>
          <cell r="BC29">
            <v>17.480100494686845</v>
          </cell>
          <cell r="BD29">
            <v>1.4158409953928535</v>
          </cell>
          <cell r="BE29">
            <v>1.05</v>
          </cell>
          <cell r="BF29">
            <v>1.6500000000000001</v>
          </cell>
          <cell r="BG29">
            <v>1.25</v>
          </cell>
          <cell r="BH29">
            <v>2.0499999999999998</v>
          </cell>
          <cell r="BI29">
            <v>1.85</v>
          </cell>
          <cell r="BJ29">
            <v>75.199999999999989</v>
          </cell>
          <cell r="BK29">
            <v>62.65</v>
          </cell>
          <cell r="BL29">
            <v>50.15</v>
          </cell>
          <cell r="BM29">
            <v>4</v>
          </cell>
          <cell r="BN29">
            <v>0.28316819907857066</v>
          </cell>
          <cell r="BO29">
            <v>50</v>
          </cell>
          <cell r="BP29">
            <v>66</v>
          </cell>
          <cell r="BQ29">
            <v>70</v>
          </cell>
          <cell r="BR29">
            <v>72.5</v>
          </cell>
          <cell r="BS29">
            <v>73</v>
          </cell>
          <cell r="BT29">
            <v>70</v>
          </cell>
          <cell r="BU29">
            <v>69</v>
          </cell>
          <cell r="BV29">
            <v>70</v>
          </cell>
          <cell r="BW29">
            <v>76</v>
          </cell>
          <cell r="BX29">
            <v>74</v>
          </cell>
          <cell r="BY29">
            <v>67</v>
          </cell>
          <cell r="BZ29">
            <v>76.400000000000006</v>
          </cell>
          <cell r="CA29">
            <v>73.5</v>
          </cell>
          <cell r="CB29">
            <v>68.5</v>
          </cell>
          <cell r="CC29">
            <v>74.5</v>
          </cell>
          <cell r="CD29">
            <v>73</v>
          </cell>
          <cell r="CE29">
            <v>3.8999999999999995</v>
          </cell>
          <cell r="CF29">
            <v>3.8999999999999995</v>
          </cell>
          <cell r="CG29">
            <v>3.9999999999999996</v>
          </cell>
          <cell r="CH29">
            <v>3.9999999999999996</v>
          </cell>
          <cell r="CI29">
            <v>3.8499999999999996</v>
          </cell>
          <cell r="CJ29">
            <v>6.1</v>
          </cell>
          <cell r="CK29">
            <v>5.8</v>
          </cell>
          <cell r="CL29">
            <v>3.0999999999999996</v>
          </cell>
          <cell r="CM29">
            <v>9.6</v>
          </cell>
          <cell r="CN29">
            <v>3.95</v>
          </cell>
          <cell r="CO29">
            <v>1.5</v>
          </cell>
          <cell r="CP29">
            <v>220</v>
          </cell>
        </row>
        <row r="30">
          <cell r="A30">
            <v>27</v>
          </cell>
          <cell r="B30">
            <v>2043</v>
          </cell>
          <cell r="C30">
            <v>0.85</v>
          </cell>
          <cell r="D30">
            <v>1.05</v>
          </cell>
          <cell r="E30">
            <v>1.25</v>
          </cell>
          <cell r="F30">
            <v>0</v>
          </cell>
          <cell r="G30">
            <v>75</v>
          </cell>
          <cell r="H30">
            <v>88.235294117647058</v>
          </cell>
          <cell r="I30">
            <v>4.0999999999999996</v>
          </cell>
          <cell r="J30">
            <v>4.8</v>
          </cell>
          <cell r="K30">
            <v>83.550000000000011</v>
          </cell>
          <cell r="L30">
            <v>79.550000000000011</v>
          </cell>
          <cell r="M30">
            <v>70.050000000000011</v>
          </cell>
          <cell r="N30">
            <v>67.550000000000011</v>
          </cell>
          <cell r="O30">
            <v>63.550000000000011</v>
          </cell>
          <cell r="P30">
            <v>82.050000000000011</v>
          </cell>
          <cell r="Q30">
            <v>89.550000000000011</v>
          </cell>
          <cell r="R30">
            <v>69.55</v>
          </cell>
          <cell r="S30">
            <v>4.0999999999999996</v>
          </cell>
          <cell r="T30">
            <v>3.8999999999999995</v>
          </cell>
          <cell r="U30">
            <v>3.5999999999999996</v>
          </cell>
          <cell r="V30">
            <v>5.05</v>
          </cell>
          <cell r="W30">
            <v>11.5</v>
          </cell>
          <cell r="X30">
            <v>33.4</v>
          </cell>
          <cell r="Y30">
            <v>50.15</v>
          </cell>
          <cell r="Z30">
            <v>83.550000000000011</v>
          </cell>
          <cell r="AA30">
            <v>49.3</v>
          </cell>
          <cell r="AB30">
            <v>9.8000000000000007</v>
          </cell>
          <cell r="AC30">
            <v>28.4</v>
          </cell>
          <cell r="AD30">
            <v>42.65</v>
          </cell>
          <cell r="AE30">
            <v>71</v>
          </cell>
          <cell r="AF30">
            <v>41.900000000000006</v>
          </cell>
          <cell r="AG30">
            <v>88.235294117647058</v>
          </cell>
          <cell r="AH30">
            <v>75.650000000000006</v>
          </cell>
          <cell r="AI30">
            <v>71.950000000000017</v>
          </cell>
          <cell r="AJ30">
            <v>65.050000000000011</v>
          </cell>
          <cell r="AK30">
            <v>57.300000000000011</v>
          </cell>
          <cell r="AL30">
            <v>3.8999999999999995</v>
          </cell>
          <cell r="AM30">
            <v>33.4</v>
          </cell>
          <cell r="AN30">
            <v>50.15</v>
          </cell>
          <cell r="AO30">
            <v>83.550000000000011</v>
          </cell>
          <cell r="AP30">
            <v>3.8999999999999995</v>
          </cell>
          <cell r="AQ30">
            <v>3.8999999999999995</v>
          </cell>
          <cell r="AR30">
            <v>3.8999999999999995</v>
          </cell>
          <cell r="AS30">
            <v>3.8999999999999995</v>
          </cell>
          <cell r="AT30">
            <v>3.8999999999999995</v>
          </cell>
          <cell r="AU30">
            <v>3.8999999999999995</v>
          </cell>
          <cell r="AV30">
            <v>83.550000000000011</v>
          </cell>
          <cell r="AW30">
            <v>0.19600000000000001</v>
          </cell>
          <cell r="AX30">
            <v>0.19600000000000001</v>
          </cell>
          <cell r="AY30">
            <v>0.19600000000000001</v>
          </cell>
          <cell r="AZ30">
            <v>0.19600000000000001</v>
          </cell>
          <cell r="BA30">
            <v>0.19600000000000001</v>
          </cell>
          <cell r="BB30">
            <v>19.863750562144144</v>
          </cell>
          <cell r="BC30">
            <v>17.480100494686845</v>
          </cell>
          <cell r="BD30">
            <v>1.4158409953928535</v>
          </cell>
          <cell r="BE30">
            <v>1.05</v>
          </cell>
          <cell r="BF30">
            <v>1.6500000000000001</v>
          </cell>
          <cell r="BG30">
            <v>1.25</v>
          </cell>
          <cell r="BH30">
            <v>2.0499999999999998</v>
          </cell>
          <cell r="BI30">
            <v>1.85</v>
          </cell>
          <cell r="BJ30">
            <v>75.199999999999989</v>
          </cell>
          <cell r="BK30">
            <v>62.65</v>
          </cell>
          <cell r="BL30">
            <v>50.15</v>
          </cell>
          <cell r="BM30">
            <v>4</v>
          </cell>
          <cell r="BN30">
            <v>0.28316819907857066</v>
          </cell>
          <cell r="BO30">
            <v>50</v>
          </cell>
          <cell r="BP30">
            <v>66</v>
          </cell>
          <cell r="BQ30">
            <v>70</v>
          </cell>
          <cell r="BR30">
            <v>72.5</v>
          </cell>
          <cell r="BS30">
            <v>73</v>
          </cell>
          <cell r="BT30">
            <v>70</v>
          </cell>
          <cell r="BU30">
            <v>69</v>
          </cell>
          <cell r="BV30">
            <v>70</v>
          </cell>
          <cell r="BW30">
            <v>76</v>
          </cell>
          <cell r="BX30">
            <v>74</v>
          </cell>
          <cell r="BY30">
            <v>67</v>
          </cell>
          <cell r="BZ30">
            <v>76.400000000000006</v>
          </cell>
          <cell r="CA30">
            <v>73.5</v>
          </cell>
          <cell r="CB30">
            <v>68.5</v>
          </cell>
          <cell r="CC30">
            <v>74.5</v>
          </cell>
          <cell r="CD30">
            <v>73</v>
          </cell>
          <cell r="CE30">
            <v>3.8999999999999995</v>
          </cell>
          <cell r="CF30">
            <v>3.8999999999999995</v>
          </cell>
          <cell r="CG30">
            <v>3.9999999999999996</v>
          </cell>
          <cell r="CH30">
            <v>3.9999999999999996</v>
          </cell>
          <cell r="CI30">
            <v>3.8499999999999996</v>
          </cell>
          <cell r="CJ30">
            <v>6.1</v>
          </cell>
          <cell r="CK30">
            <v>5.8</v>
          </cell>
          <cell r="CL30">
            <v>3.0999999999999996</v>
          </cell>
          <cell r="CM30">
            <v>9.6</v>
          </cell>
          <cell r="CN30">
            <v>3.95</v>
          </cell>
          <cell r="CO30">
            <v>1.5</v>
          </cell>
          <cell r="CP30">
            <v>220</v>
          </cell>
        </row>
        <row r="31">
          <cell r="A31">
            <v>28</v>
          </cell>
          <cell r="B31">
            <v>2044</v>
          </cell>
          <cell r="C31">
            <v>0.85</v>
          </cell>
          <cell r="D31">
            <v>1.05</v>
          </cell>
          <cell r="E31">
            <v>1.25</v>
          </cell>
          <cell r="F31">
            <v>0</v>
          </cell>
          <cell r="G31">
            <v>75</v>
          </cell>
          <cell r="H31">
            <v>88.235294117647058</v>
          </cell>
          <cell r="I31">
            <v>4.0999999999999996</v>
          </cell>
          <cell r="J31">
            <v>4.8</v>
          </cell>
          <cell r="K31">
            <v>83.550000000000011</v>
          </cell>
          <cell r="L31">
            <v>79.550000000000011</v>
          </cell>
          <cell r="M31">
            <v>70.050000000000011</v>
          </cell>
          <cell r="N31">
            <v>67.550000000000011</v>
          </cell>
          <cell r="O31">
            <v>63.550000000000011</v>
          </cell>
          <cell r="P31">
            <v>82.050000000000011</v>
          </cell>
          <cell r="Q31">
            <v>89.550000000000011</v>
          </cell>
          <cell r="R31">
            <v>69.55</v>
          </cell>
          <cell r="S31">
            <v>4.0999999999999996</v>
          </cell>
          <cell r="T31">
            <v>3.8999999999999995</v>
          </cell>
          <cell r="U31">
            <v>3.5999999999999996</v>
          </cell>
          <cell r="V31">
            <v>5.05</v>
          </cell>
          <cell r="W31">
            <v>11.5</v>
          </cell>
          <cell r="X31">
            <v>33.4</v>
          </cell>
          <cell r="Y31">
            <v>50.15</v>
          </cell>
          <cell r="Z31">
            <v>83.550000000000011</v>
          </cell>
          <cell r="AA31">
            <v>49.3</v>
          </cell>
          <cell r="AB31">
            <v>9.8000000000000007</v>
          </cell>
          <cell r="AC31">
            <v>28.4</v>
          </cell>
          <cell r="AD31">
            <v>42.65</v>
          </cell>
          <cell r="AE31">
            <v>71</v>
          </cell>
          <cell r="AF31">
            <v>41.900000000000006</v>
          </cell>
          <cell r="AG31">
            <v>88.235294117647058</v>
          </cell>
          <cell r="AH31">
            <v>75.650000000000006</v>
          </cell>
          <cell r="AI31">
            <v>71.950000000000017</v>
          </cell>
          <cell r="AJ31">
            <v>65.050000000000011</v>
          </cell>
          <cell r="AK31">
            <v>57.300000000000011</v>
          </cell>
          <cell r="AL31">
            <v>3.8999999999999995</v>
          </cell>
          <cell r="AM31">
            <v>33.4</v>
          </cell>
          <cell r="AN31">
            <v>50.15</v>
          </cell>
          <cell r="AO31">
            <v>83.550000000000011</v>
          </cell>
          <cell r="AP31">
            <v>3.8999999999999995</v>
          </cell>
          <cell r="AQ31">
            <v>3.8999999999999995</v>
          </cell>
          <cell r="AR31">
            <v>3.8999999999999995</v>
          </cell>
          <cell r="AS31">
            <v>3.8999999999999995</v>
          </cell>
          <cell r="AT31">
            <v>3.8999999999999995</v>
          </cell>
          <cell r="AU31">
            <v>3.8999999999999995</v>
          </cell>
          <cell r="AV31">
            <v>83.550000000000011</v>
          </cell>
          <cell r="AW31">
            <v>0.19600000000000001</v>
          </cell>
          <cell r="AX31">
            <v>0.19600000000000001</v>
          </cell>
          <cell r="AY31">
            <v>0.19600000000000001</v>
          </cell>
          <cell r="AZ31">
            <v>0.19600000000000001</v>
          </cell>
          <cell r="BA31">
            <v>0.19600000000000001</v>
          </cell>
          <cell r="BB31">
            <v>19.863750562144144</v>
          </cell>
          <cell r="BC31">
            <v>17.480100494686845</v>
          </cell>
          <cell r="BD31">
            <v>1.4158409953928535</v>
          </cell>
          <cell r="BE31">
            <v>1.05</v>
          </cell>
          <cell r="BF31">
            <v>1.6500000000000001</v>
          </cell>
          <cell r="BG31">
            <v>1.25</v>
          </cell>
          <cell r="BH31">
            <v>2.0499999999999998</v>
          </cell>
          <cell r="BI31">
            <v>1.85</v>
          </cell>
          <cell r="BJ31">
            <v>75.199999999999989</v>
          </cell>
          <cell r="BK31">
            <v>62.65</v>
          </cell>
          <cell r="BL31">
            <v>50.15</v>
          </cell>
          <cell r="BM31">
            <v>4</v>
          </cell>
          <cell r="BN31">
            <v>0.28316819907857066</v>
          </cell>
          <cell r="BO31">
            <v>50</v>
          </cell>
          <cell r="BP31">
            <v>66</v>
          </cell>
          <cell r="BQ31">
            <v>70</v>
          </cell>
          <cell r="BR31">
            <v>72.5</v>
          </cell>
          <cell r="BS31">
            <v>73</v>
          </cell>
          <cell r="BT31">
            <v>70</v>
          </cell>
          <cell r="BU31">
            <v>69</v>
          </cell>
          <cell r="BV31">
            <v>70</v>
          </cell>
          <cell r="BW31">
            <v>76</v>
          </cell>
          <cell r="BX31">
            <v>74</v>
          </cell>
          <cell r="BY31">
            <v>67</v>
          </cell>
          <cell r="BZ31">
            <v>76.400000000000006</v>
          </cell>
          <cell r="CA31">
            <v>73.5</v>
          </cell>
          <cell r="CB31">
            <v>68.5</v>
          </cell>
          <cell r="CC31">
            <v>74.5</v>
          </cell>
          <cell r="CD31">
            <v>73</v>
          </cell>
          <cell r="CE31">
            <v>3.8999999999999995</v>
          </cell>
          <cell r="CF31">
            <v>3.8999999999999995</v>
          </cell>
          <cell r="CG31">
            <v>3.9999999999999996</v>
          </cell>
          <cell r="CH31">
            <v>3.9999999999999996</v>
          </cell>
          <cell r="CI31">
            <v>3.8499999999999996</v>
          </cell>
          <cell r="CJ31">
            <v>6.1</v>
          </cell>
          <cell r="CK31">
            <v>5.8</v>
          </cell>
          <cell r="CL31">
            <v>3.0999999999999996</v>
          </cell>
          <cell r="CM31">
            <v>9.6</v>
          </cell>
          <cell r="CN31">
            <v>3.95</v>
          </cell>
          <cell r="CO31">
            <v>1.5</v>
          </cell>
          <cell r="CP31">
            <v>220</v>
          </cell>
        </row>
        <row r="32">
          <cell r="A32">
            <v>29</v>
          </cell>
          <cell r="B32">
            <v>2045</v>
          </cell>
          <cell r="C32">
            <v>0.85</v>
          </cell>
          <cell r="D32">
            <v>1.05</v>
          </cell>
          <cell r="E32">
            <v>1.25</v>
          </cell>
          <cell r="F32">
            <v>0</v>
          </cell>
          <cell r="G32">
            <v>75</v>
          </cell>
          <cell r="H32">
            <v>88.235294117647058</v>
          </cell>
          <cell r="I32">
            <v>4.0999999999999996</v>
          </cell>
          <cell r="J32">
            <v>4.8</v>
          </cell>
          <cell r="K32">
            <v>83.550000000000011</v>
          </cell>
          <cell r="L32">
            <v>79.550000000000011</v>
          </cell>
          <cell r="M32">
            <v>70.050000000000011</v>
          </cell>
          <cell r="N32">
            <v>67.550000000000011</v>
          </cell>
          <cell r="O32">
            <v>63.550000000000011</v>
          </cell>
          <cell r="P32">
            <v>82.050000000000011</v>
          </cell>
          <cell r="Q32">
            <v>89.550000000000011</v>
          </cell>
          <cell r="R32">
            <v>69.55</v>
          </cell>
          <cell r="S32">
            <v>4.0999999999999996</v>
          </cell>
          <cell r="T32">
            <v>3.8999999999999995</v>
          </cell>
          <cell r="U32">
            <v>3.5999999999999996</v>
          </cell>
          <cell r="V32">
            <v>5.05</v>
          </cell>
          <cell r="W32">
            <v>11.5</v>
          </cell>
          <cell r="X32">
            <v>33.4</v>
          </cell>
          <cell r="Y32">
            <v>50.15</v>
          </cell>
          <cell r="Z32">
            <v>83.550000000000011</v>
          </cell>
          <cell r="AA32">
            <v>49.3</v>
          </cell>
          <cell r="AB32">
            <v>9.8000000000000007</v>
          </cell>
          <cell r="AC32">
            <v>28.4</v>
          </cell>
          <cell r="AD32">
            <v>42.65</v>
          </cell>
          <cell r="AE32">
            <v>71</v>
          </cell>
          <cell r="AF32">
            <v>41.900000000000006</v>
          </cell>
          <cell r="AG32">
            <v>88.235294117647058</v>
          </cell>
          <cell r="AH32">
            <v>75.650000000000006</v>
          </cell>
          <cell r="AI32">
            <v>71.950000000000017</v>
          </cell>
          <cell r="AJ32">
            <v>65.050000000000011</v>
          </cell>
          <cell r="AK32">
            <v>57.300000000000011</v>
          </cell>
          <cell r="AL32">
            <v>3.8999999999999995</v>
          </cell>
          <cell r="AM32">
            <v>33.4</v>
          </cell>
          <cell r="AN32">
            <v>50.15</v>
          </cell>
          <cell r="AO32">
            <v>83.550000000000011</v>
          </cell>
          <cell r="AP32">
            <v>3.8999999999999995</v>
          </cell>
          <cell r="AQ32">
            <v>3.8999999999999995</v>
          </cell>
          <cell r="AR32">
            <v>3.8999999999999995</v>
          </cell>
          <cell r="AS32">
            <v>3.8999999999999995</v>
          </cell>
          <cell r="AT32">
            <v>3.8999999999999995</v>
          </cell>
          <cell r="AU32">
            <v>3.8999999999999995</v>
          </cell>
          <cell r="AV32">
            <v>83.550000000000011</v>
          </cell>
          <cell r="AW32">
            <v>0.19600000000000001</v>
          </cell>
          <cell r="AX32">
            <v>0.19600000000000001</v>
          </cell>
          <cell r="AY32">
            <v>0.19600000000000001</v>
          </cell>
          <cell r="AZ32">
            <v>0.19600000000000001</v>
          </cell>
          <cell r="BA32">
            <v>0.19600000000000001</v>
          </cell>
          <cell r="BB32">
            <v>19.863750562144144</v>
          </cell>
          <cell r="BC32">
            <v>17.480100494686845</v>
          </cell>
          <cell r="BD32">
            <v>1.4158409953928535</v>
          </cell>
          <cell r="BE32">
            <v>1.05</v>
          </cell>
          <cell r="BF32">
            <v>1.6500000000000001</v>
          </cell>
          <cell r="BG32">
            <v>1.25</v>
          </cell>
          <cell r="BH32">
            <v>2.0499999999999998</v>
          </cell>
          <cell r="BI32">
            <v>1.85</v>
          </cell>
          <cell r="BJ32">
            <v>75.199999999999989</v>
          </cell>
          <cell r="BK32">
            <v>62.65</v>
          </cell>
          <cell r="BL32">
            <v>50.15</v>
          </cell>
          <cell r="BM32">
            <v>4</v>
          </cell>
          <cell r="BN32">
            <v>0.28316819907857066</v>
          </cell>
          <cell r="BO32">
            <v>50</v>
          </cell>
          <cell r="BP32">
            <v>66</v>
          </cell>
          <cell r="BQ32">
            <v>70</v>
          </cell>
          <cell r="BR32">
            <v>72.5</v>
          </cell>
          <cell r="BS32">
            <v>73</v>
          </cell>
          <cell r="BT32">
            <v>70</v>
          </cell>
          <cell r="BU32">
            <v>69</v>
          </cell>
          <cell r="BV32">
            <v>70</v>
          </cell>
          <cell r="BW32">
            <v>76</v>
          </cell>
          <cell r="BX32">
            <v>74</v>
          </cell>
          <cell r="BY32">
            <v>67</v>
          </cell>
          <cell r="BZ32">
            <v>76.400000000000006</v>
          </cell>
          <cell r="CA32">
            <v>73.5</v>
          </cell>
          <cell r="CB32">
            <v>68.5</v>
          </cell>
          <cell r="CC32">
            <v>74.5</v>
          </cell>
          <cell r="CD32">
            <v>73</v>
          </cell>
          <cell r="CE32">
            <v>3.8999999999999995</v>
          </cell>
          <cell r="CF32">
            <v>3.8999999999999995</v>
          </cell>
          <cell r="CG32">
            <v>3.9999999999999996</v>
          </cell>
          <cell r="CH32">
            <v>3.9999999999999996</v>
          </cell>
          <cell r="CI32">
            <v>3.8499999999999996</v>
          </cell>
          <cell r="CJ32">
            <v>6.1</v>
          </cell>
          <cell r="CK32">
            <v>5.8</v>
          </cell>
          <cell r="CL32">
            <v>3.0999999999999996</v>
          </cell>
          <cell r="CM32">
            <v>9.6</v>
          </cell>
          <cell r="CN32">
            <v>3.95</v>
          </cell>
          <cell r="CO32">
            <v>1.5</v>
          </cell>
          <cell r="CP32">
            <v>220</v>
          </cell>
        </row>
        <row r="33">
          <cell r="A33">
            <v>30</v>
          </cell>
          <cell r="B33">
            <v>2046</v>
          </cell>
          <cell r="C33">
            <v>0.85</v>
          </cell>
          <cell r="D33">
            <v>1.05</v>
          </cell>
          <cell r="E33">
            <v>1.25</v>
          </cell>
          <cell r="F33">
            <v>0</v>
          </cell>
          <cell r="G33">
            <v>75</v>
          </cell>
          <cell r="H33">
            <v>88.235294117647058</v>
          </cell>
          <cell r="I33">
            <v>4.0999999999999996</v>
          </cell>
          <cell r="J33">
            <v>4.8</v>
          </cell>
          <cell r="K33">
            <v>83.550000000000011</v>
          </cell>
          <cell r="L33">
            <v>79.550000000000011</v>
          </cell>
          <cell r="M33">
            <v>70.050000000000011</v>
          </cell>
          <cell r="N33">
            <v>67.550000000000011</v>
          </cell>
          <cell r="O33">
            <v>63.550000000000011</v>
          </cell>
          <cell r="P33">
            <v>82.050000000000011</v>
          </cell>
          <cell r="Q33">
            <v>89.550000000000011</v>
          </cell>
          <cell r="R33">
            <v>69.55</v>
          </cell>
          <cell r="S33">
            <v>4.0999999999999996</v>
          </cell>
          <cell r="T33">
            <v>3.8999999999999995</v>
          </cell>
          <cell r="U33">
            <v>3.5999999999999996</v>
          </cell>
          <cell r="V33">
            <v>5.05</v>
          </cell>
          <cell r="W33">
            <v>11.5</v>
          </cell>
          <cell r="X33">
            <v>33.4</v>
          </cell>
          <cell r="Y33">
            <v>50.15</v>
          </cell>
          <cell r="Z33">
            <v>83.550000000000011</v>
          </cell>
          <cell r="AA33">
            <v>49.3</v>
          </cell>
          <cell r="AB33">
            <v>9.8000000000000007</v>
          </cell>
          <cell r="AC33">
            <v>28.4</v>
          </cell>
          <cell r="AD33">
            <v>42.65</v>
          </cell>
          <cell r="AE33">
            <v>71</v>
          </cell>
          <cell r="AF33">
            <v>41.900000000000006</v>
          </cell>
          <cell r="AG33">
            <v>88.235294117647058</v>
          </cell>
          <cell r="AH33">
            <v>75.650000000000006</v>
          </cell>
          <cell r="AI33">
            <v>71.950000000000017</v>
          </cell>
          <cell r="AJ33">
            <v>65.050000000000011</v>
          </cell>
          <cell r="AK33">
            <v>57.300000000000011</v>
          </cell>
          <cell r="AL33">
            <v>3.8999999999999995</v>
          </cell>
          <cell r="AM33">
            <v>33.4</v>
          </cell>
          <cell r="AN33">
            <v>50.15</v>
          </cell>
          <cell r="AO33">
            <v>83.550000000000011</v>
          </cell>
          <cell r="AP33">
            <v>3.8999999999999995</v>
          </cell>
          <cell r="AQ33">
            <v>3.8999999999999995</v>
          </cell>
          <cell r="AR33">
            <v>3.8999999999999995</v>
          </cell>
          <cell r="AS33">
            <v>3.8999999999999995</v>
          </cell>
          <cell r="AT33">
            <v>3.8999999999999995</v>
          </cell>
          <cell r="AU33">
            <v>3.8999999999999995</v>
          </cell>
          <cell r="AV33">
            <v>83.550000000000011</v>
          </cell>
          <cell r="AW33">
            <v>0.19600000000000001</v>
          </cell>
          <cell r="AX33">
            <v>0.19600000000000001</v>
          </cell>
          <cell r="AY33">
            <v>0.19600000000000001</v>
          </cell>
          <cell r="AZ33">
            <v>0.19600000000000001</v>
          </cell>
          <cell r="BA33">
            <v>0.19600000000000001</v>
          </cell>
          <cell r="BB33">
            <v>19.863750562144144</v>
          </cell>
          <cell r="BC33">
            <v>17.480100494686845</v>
          </cell>
          <cell r="BD33">
            <v>1.4158409953928535</v>
          </cell>
          <cell r="BE33">
            <v>1.05</v>
          </cell>
          <cell r="BF33">
            <v>1.6500000000000001</v>
          </cell>
          <cell r="BG33">
            <v>1.25</v>
          </cell>
          <cell r="BH33">
            <v>2.0499999999999998</v>
          </cell>
          <cell r="BI33">
            <v>1.85</v>
          </cell>
          <cell r="BJ33">
            <v>75.199999999999989</v>
          </cell>
          <cell r="BK33">
            <v>62.65</v>
          </cell>
          <cell r="BL33">
            <v>50.15</v>
          </cell>
          <cell r="BM33">
            <v>4</v>
          </cell>
          <cell r="BN33">
            <v>0.28316819907857066</v>
          </cell>
          <cell r="BO33">
            <v>50</v>
          </cell>
          <cell r="BP33">
            <v>66</v>
          </cell>
          <cell r="BQ33">
            <v>70</v>
          </cell>
          <cell r="BR33">
            <v>72.5</v>
          </cell>
          <cell r="BS33">
            <v>73</v>
          </cell>
          <cell r="BT33">
            <v>70</v>
          </cell>
          <cell r="BU33">
            <v>69</v>
          </cell>
          <cell r="BV33">
            <v>70</v>
          </cell>
          <cell r="BW33">
            <v>76</v>
          </cell>
          <cell r="BX33">
            <v>74</v>
          </cell>
          <cell r="BY33">
            <v>67</v>
          </cell>
          <cell r="BZ33">
            <v>76.400000000000006</v>
          </cell>
          <cell r="CA33">
            <v>73.5</v>
          </cell>
          <cell r="CB33">
            <v>68.5</v>
          </cell>
          <cell r="CC33">
            <v>74.5</v>
          </cell>
          <cell r="CD33">
            <v>73</v>
          </cell>
          <cell r="CE33">
            <v>3.8999999999999995</v>
          </cell>
          <cell r="CF33">
            <v>3.8999999999999995</v>
          </cell>
          <cell r="CG33">
            <v>3.9999999999999996</v>
          </cell>
          <cell r="CH33">
            <v>3.9999999999999996</v>
          </cell>
          <cell r="CI33">
            <v>3.8499999999999996</v>
          </cell>
          <cell r="CJ33">
            <v>6.1</v>
          </cell>
          <cell r="CK33">
            <v>5.8</v>
          </cell>
          <cell r="CL33">
            <v>3.0999999999999996</v>
          </cell>
          <cell r="CM33">
            <v>9.6</v>
          </cell>
          <cell r="CN33">
            <v>3.95</v>
          </cell>
          <cell r="CO33">
            <v>1.5</v>
          </cell>
          <cell r="CP33">
            <v>220</v>
          </cell>
        </row>
        <row r="34">
          <cell r="A34">
            <v>31</v>
          </cell>
          <cell r="B34">
            <v>2047</v>
          </cell>
          <cell r="C34">
            <v>0.85</v>
          </cell>
          <cell r="D34">
            <v>1.05</v>
          </cell>
          <cell r="E34">
            <v>1.25</v>
          </cell>
          <cell r="F34">
            <v>0</v>
          </cell>
          <cell r="G34">
            <v>75</v>
          </cell>
          <cell r="H34">
            <v>88.235294117647058</v>
          </cell>
          <cell r="I34">
            <v>4.0999999999999996</v>
          </cell>
          <cell r="J34">
            <v>4.8</v>
          </cell>
          <cell r="K34">
            <v>83.550000000000011</v>
          </cell>
          <cell r="L34">
            <v>79.550000000000011</v>
          </cell>
          <cell r="M34">
            <v>70.050000000000011</v>
          </cell>
          <cell r="N34">
            <v>67.550000000000011</v>
          </cell>
          <cell r="O34">
            <v>63.550000000000011</v>
          </cell>
          <cell r="P34">
            <v>82.050000000000011</v>
          </cell>
          <cell r="Q34">
            <v>89.550000000000011</v>
          </cell>
          <cell r="R34">
            <v>69.55</v>
          </cell>
          <cell r="S34">
            <v>4.0999999999999996</v>
          </cell>
          <cell r="T34">
            <v>3.8999999999999995</v>
          </cell>
          <cell r="U34">
            <v>3.5999999999999996</v>
          </cell>
          <cell r="V34">
            <v>5.05</v>
          </cell>
          <cell r="W34">
            <v>11.5</v>
          </cell>
          <cell r="X34">
            <v>33.4</v>
          </cell>
          <cell r="Y34">
            <v>50.15</v>
          </cell>
          <cell r="Z34">
            <v>83.550000000000011</v>
          </cell>
          <cell r="AA34">
            <v>49.3</v>
          </cell>
          <cell r="AB34">
            <v>9.8000000000000007</v>
          </cell>
          <cell r="AC34">
            <v>28.4</v>
          </cell>
          <cell r="AD34">
            <v>42.65</v>
          </cell>
          <cell r="AE34">
            <v>71</v>
          </cell>
          <cell r="AF34">
            <v>41.900000000000006</v>
          </cell>
          <cell r="AG34">
            <v>88.235294117647058</v>
          </cell>
          <cell r="AH34">
            <v>75.650000000000006</v>
          </cell>
          <cell r="AI34">
            <v>71.950000000000017</v>
          </cell>
          <cell r="AJ34">
            <v>65.050000000000011</v>
          </cell>
          <cell r="AK34">
            <v>57.300000000000011</v>
          </cell>
          <cell r="AL34">
            <v>3.8999999999999995</v>
          </cell>
          <cell r="AM34">
            <v>33.4</v>
          </cell>
          <cell r="AN34">
            <v>50.15</v>
          </cell>
          <cell r="AO34">
            <v>83.550000000000011</v>
          </cell>
          <cell r="AP34">
            <v>3.8999999999999995</v>
          </cell>
          <cell r="AQ34">
            <v>3.8999999999999995</v>
          </cell>
          <cell r="AR34">
            <v>3.8999999999999995</v>
          </cell>
          <cell r="AS34">
            <v>3.8999999999999995</v>
          </cell>
          <cell r="AT34">
            <v>3.8999999999999995</v>
          </cell>
          <cell r="AU34">
            <v>3.8999999999999995</v>
          </cell>
          <cell r="AV34">
            <v>83.550000000000011</v>
          </cell>
          <cell r="AW34">
            <v>0.19600000000000001</v>
          </cell>
          <cell r="AX34">
            <v>0.19600000000000001</v>
          </cell>
          <cell r="AY34">
            <v>0.19600000000000001</v>
          </cell>
          <cell r="AZ34">
            <v>0.19600000000000001</v>
          </cell>
          <cell r="BA34">
            <v>0.19600000000000001</v>
          </cell>
          <cell r="BB34">
            <v>19.863750562144144</v>
          </cell>
          <cell r="BC34">
            <v>17.480100494686845</v>
          </cell>
          <cell r="BD34">
            <v>1.4158409953928535</v>
          </cell>
          <cell r="BE34">
            <v>1.05</v>
          </cell>
          <cell r="BF34">
            <v>1.6500000000000001</v>
          </cell>
          <cell r="BG34">
            <v>1.25</v>
          </cell>
          <cell r="BH34">
            <v>2.0499999999999998</v>
          </cell>
          <cell r="BI34">
            <v>1.85</v>
          </cell>
          <cell r="BJ34">
            <v>75.199999999999989</v>
          </cell>
          <cell r="BK34">
            <v>62.65</v>
          </cell>
          <cell r="BL34">
            <v>50.15</v>
          </cell>
          <cell r="BM34">
            <v>4</v>
          </cell>
          <cell r="BN34">
            <v>0.28316819907857066</v>
          </cell>
          <cell r="BO34">
            <v>50</v>
          </cell>
          <cell r="BP34">
            <v>66</v>
          </cell>
          <cell r="BQ34">
            <v>70</v>
          </cell>
          <cell r="BR34">
            <v>72.5</v>
          </cell>
          <cell r="BS34">
            <v>73</v>
          </cell>
          <cell r="BT34">
            <v>70</v>
          </cell>
          <cell r="BU34">
            <v>69</v>
          </cell>
          <cell r="BV34">
            <v>70</v>
          </cell>
          <cell r="BW34">
            <v>76</v>
          </cell>
          <cell r="BX34">
            <v>74</v>
          </cell>
          <cell r="BY34">
            <v>67</v>
          </cell>
          <cell r="BZ34">
            <v>76.400000000000006</v>
          </cell>
          <cell r="CA34">
            <v>73.5</v>
          </cell>
          <cell r="CB34">
            <v>68.5</v>
          </cell>
          <cell r="CC34">
            <v>74.5</v>
          </cell>
          <cell r="CD34">
            <v>73</v>
          </cell>
          <cell r="CE34">
            <v>3.8999999999999995</v>
          </cell>
          <cell r="CF34">
            <v>3.8999999999999995</v>
          </cell>
          <cell r="CG34">
            <v>3.9999999999999996</v>
          </cell>
          <cell r="CH34">
            <v>3.9999999999999996</v>
          </cell>
          <cell r="CI34">
            <v>3.8499999999999996</v>
          </cell>
          <cell r="CJ34">
            <v>6.1</v>
          </cell>
          <cell r="CK34">
            <v>5.8</v>
          </cell>
          <cell r="CL34">
            <v>3.0999999999999996</v>
          </cell>
          <cell r="CM34">
            <v>9.6</v>
          </cell>
          <cell r="CN34">
            <v>3.95</v>
          </cell>
          <cell r="CO34">
            <v>1.5</v>
          </cell>
          <cell r="CP34">
            <v>220</v>
          </cell>
        </row>
        <row r="35">
          <cell r="A35">
            <v>32</v>
          </cell>
          <cell r="B35">
            <v>2048</v>
          </cell>
          <cell r="C35">
            <v>0.85</v>
          </cell>
          <cell r="D35">
            <v>1.05</v>
          </cell>
          <cell r="E35">
            <v>1.25</v>
          </cell>
          <cell r="F35">
            <v>0</v>
          </cell>
          <cell r="G35">
            <v>75</v>
          </cell>
          <cell r="H35">
            <v>88.235294117647058</v>
          </cell>
          <cell r="I35">
            <v>4.0999999999999996</v>
          </cell>
          <cell r="J35">
            <v>4.8</v>
          </cell>
          <cell r="K35">
            <v>83.550000000000011</v>
          </cell>
          <cell r="L35">
            <v>79.550000000000011</v>
          </cell>
          <cell r="M35">
            <v>70.050000000000011</v>
          </cell>
          <cell r="N35">
            <v>67.550000000000011</v>
          </cell>
          <cell r="O35">
            <v>63.550000000000011</v>
          </cell>
          <cell r="P35">
            <v>82.050000000000011</v>
          </cell>
          <cell r="Q35">
            <v>89.550000000000011</v>
          </cell>
          <cell r="R35">
            <v>69.55</v>
          </cell>
          <cell r="S35">
            <v>4.0999999999999996</v>
          </cell>
          <cell r="T35">
            <v>3.8999999999999995</v>
          </cell>
          <cell r="U35">
            <v>3.5999999999999996</v>
          </cell>
          <cell r="V35">
            <v>5.05</v>
          </cell>
          <cell r="W35">
            <v>11.5</v>
          </cell>
          <cell r="X35">
            <v>33.4</v>
          </cell>
          <cell r="Y35">
            <v>50.15</v>
          </cell>
          <cell r="Z35">
            <v>83.550000000000011</v>
          </cell>
          <cell r="AA35">
            <v>49.3</v>
          </cell>
          <cell r="AB35">
            <v>9.8000000000000007</v>
          </cell>
          <cell r="AC35">
            <v>28.4</v>
          </cell>
          <cell r="AD35">
            <v>42.65</v>
          </cell>
          <cell r="AE35">
            <v>71</v>
          </cell>
          <cell r="AF35">
            <v>41.900000000000006</v>
          </cell>
          <cell r="AG35">
            <v>88.235294117647058</v>
          </cell>
          <cell r="AH35">
            <v>75.650000000000006</v>
          </cell>
          <cell r="AI35">
            <v>71.950000000000017</v>
          </cell>
          <cell r="AJ35">
            <v>65.050000000000011</v>
          </cell>
          <cell r="AK35">
            <v>57.300000000000011</v>
          </cell>
          <cell r="AL35">
            <v>3.8999999999999995</v>
          </cell>
          <cell r="AM35">
            <v>33.4</v>
          </cell>
          <cell r="AN35">
            <v>50.15</v>
          </cell>
          <cell r="AO35">
            <v>83.550000000000011</v>
          </cell>
          <cell r="AP35">
            <v>3.8999999999999995</v>
          </cell>
          <cell r="AQ35">
            <v>3.8999999999999995</v>
          </cell>
          <cell r="AR35">
            <v>3.8999999999999995</v>
          </cell>
          <cell r="AS35">
            <v>3.8999999999999995</v>
          </cell>
          <cell r="AT35">
            <v>3.8999999999999995</v>
          </cell>
          <cell r="AU35">
            <v>3.8999999999999995</v>
          </cell>
          <cell r="AV35">
            <v>83.550000000000011</v>
          </cell>
          <cell r="AW35">
            <v>0.19600000000000001</v>
          </cell>
          <cell r="AX35">
            <v>0.19600000000000001</v>
          </cell>
          <cell r="AY35">
            <v>0.19600000000000001</v>
          </cell>
          <cell r="AZ35">
            <v>0.19600000000000001</v>
          </cell>
          <cell r="BA35">
            <v>0.19600000000000001</v>
          </cell>
          <cell r="BB35">
            <v>19.863750562144144</v>
          </cell>
          <cell r="BC35">
            <v>17.480100494686845</v>
          </cell>
          <cell r="BD35">
            <v>1.4158409953928535</v>
          </cell>
          <cell r="BE35">
            <v>1.05</v>
          </cell>
          <cell r="BF35">
            <v>1.6500000000000001</v>
          </cell>
          <cell r="BG35">
            <v>1.25</v>
          </cell>
          <cell r="BH35">
            <v>2.0499999999999998</v>
          </cell>
          <cell r="BI35">
            <v>1.85</v>
          </cell>
          <cell r="BJ35">
            <v>75.199999999999989</v>
          </cell>
          <cell r="BK35">
            <v>62.65</v>
          </cell>
          <cell r="BL35">
            <v>50.15</v>
          </cell>
          <cell r="BM35">
            <v>4</v>
          </cell>
          <cell r="BN35">
            <v>0.28316819907857066</v>
          </cell>
          <cell r="BO35">
            <v>50</v>
          </cell>
          <cell r="BP35">
            <v>66</v>
          </cell>
          <cell r="BQ35">
            <v>70</v>
          </cell>
          <cell r="BR35">
            <v>72.5</v>
          </cell>
          <cell r="BS35">
            <v>73</v>
          </cell>
          <cell r="BT35">
            <v>70</v>
          </cell>
          <cell r="BU35">
            <v>69</v>
          </cell>
          <cell r="BV35">
            <v>70</v>
          </cell>
          <cell r="BW35">
            <v>76</v>
          </cell>
          <cell r="BX35">
            <v>74</v>
          </cell>
          <cell r="BY35">
            <v>67</v>
          </cell>
          <cell r="BZ35">
            <v>76.400000000000006</v>
          </cell>
          <cell r="CA35">
            <v>73.5</v>
          </cell>
          <cell r="CB35">
            <v>68.5</v>
          </cell>
          <cell r="CC35">
            <v>74.5</v>
          </cell>
          <cell r="CD35">
            <v>73</v>
          </cell>
          <cell r="CE35">
            <v>3.8999999999999995</v>
          </cell>
          <cell r="CF35">
            <v>3.8999999999999995</v>
          </cell>
          <cell r="CG35">
            <v>3.9999999999999996</v>
          </cell>
          <cell r="CH35">
            <v>3.9999999999999996</v>
          </cell>
          <cell r="CI35">
            <v>3.8499999999999996</v>
          </cell>
          <cell r="CJ35">
            <v>6.1</v>
          </cell>
          <cell r="CK35">
            <v>5.8</v>
          </cell>
          <cell r="CL35">
            <v>3.0999999999999996</v>
          </cell>
          <cell r="CM35">
            <v>9.6</v>
          </cell>
          <cell r="CN35">
            <v>3.95</v>
          </cell>
          <cell r="CO35">
            <v>1.5</v>
          </cell>
          <cell r="CP35">
            <v>220</v>
          </cell>
        </row>
        <row r="36">
          <cell r="A36">
            <v>33</v>
          </cell>
          <cell r="B36">
            <v>2049</v>
          </cell>
          <cell r="C36">
            <v>0.85</v>
          </cell>
          <cell r="D36">
            <v>1.05</v>
          </cell>
          <cell r="E36">
            <v>1.25</v>
          </cell>
          <cell r="F36">
            <v>0</v>
          </cell>
          <cell r="G36">
            <v>75</v>
          </cell>
          <cell r="H36">
            <v>88.235294117647058</v>
          </cell>
          <cell r="I36">
            <v>4.0999999999999996</v>
          </cell>
          <cell r="J36">
            <v>4.8</v>
          </cell>
          <cell r="K36">
            <v>83.550000000000011</v>
          </cell>
          <cell r="L36">
            <v>79.550000000000011</v>
          </cell>
          <cell r="M36">
            <v>70.050000000000011</v>
          </cell>
          <cell r="N36">
            <v>67.550000000000011</v>
          </cell>
          <cell r="O36">
            <v>63.550000000000011</v>
          </cell>
          <cell r="P36">
            <v>82.050000000000011</v>
          </cell>
          <cell r="Q36">
            <v>89.550000000000011</v>
          </cell>
          <cell r="R36">
            <v>69.55</v>
          </cell>
          <cell r="S36">
            <v>4.0999999999999996</v>
          </cell>
          <cell r="T36">
            <v>3.8999999999999995</v>
          </cell>
          <cell r="U36">
            <v>3.5999999999999996</v>
          </cell>
          <cell r="V36">
            <v>5.05</v>
          </cell>
          <cell r="W36">
            <v>11.5</v>
          </cell>
          <cell r="X36">
            <v>33.4</v>
          </cell>
          <cell r="Y36">
            <v>50.15</v>
          </cell>
          <cell r="Z36">
            <v>83.550000000000011</v>
          </cell>
          <cell r="AA36">
            <v>49.3</v>
          </cell>
          <cell r="AB36">
            <v>9.8000000000000007</v>
          </cell>
          <cell r="AC36">
            <v>28.4</v>
          </cell>
          <cell r="AD36">
            <v>42.65</v>
          </cell>
          <cell r="AE36">
            <v>71</v>
          </cell>
          <cell r="AF36">
            <v>41.900000000000006</v>
          </cell>
          <cell r="AG36">
            <v>88.235294117647058</v>
          </cell>
          <cell r="AH36">
            <v>75.650000000000006</v>
          </cell>
          <cell r="AI36">
            <v>71.950000000000017</v>
          </cell>
          <cell r="AJ36">
            <v>65.050000000000011</v>
          </cell>
          <cell r="AK36">
            <v>57.300000000000011</v>
          </cell>
          <cell r="AL36">
            <v>3.8999999999999995</v>
          </cell>
          <cell r="AM36">
            <v>33.4</v>
          </cell>
          <cell r="AN36">
            <v>50.15</v>
          </cell>
          <cell r="AO36">
            <v>83.550000000000011</v>
          </cell>
          <cell r="AP36">
            <v>3.8999999999999995</v>
          </cell>
          <cell r="AQ36">
            <v>3.8999999999999995</v>
          </cell>
          <cell r="AR36">
            <v>3.8999999999999995</v>
          </cell>
          <cell r="AS36">
            <v>3.8999999999999995</v>
          </cell>
          <cell r="AT36">
            <v>3.8999999999999995</v>
          </cell>
          <cell r="AU36">
            <v>3.8999999999999995</v>
          </cell>
          <cell r="AV36">
            <v>83.550000000000011</v>
          </cell>
          <cell r="AW36">
            <v>0.19600000000000001</v>
          </cell>
          <cell r="AX36">
            <v>0.19600000000000001</v>
          </cell>
          <cell r="AY36">
            <v>0.19600000000000001</v>
          </cell>
          <cell r="AZ36">
            <v>0.19600000000000001</v>
          </cell>
          <cell r="BA36">
            <v>0.19600000000000001</v>
          </cell>
          <cell r="BB36">
            <v>19.863750562144144</v>
          </cell>
          <cell r="BC36">
            <v>17.480100494686845</v>
          </cell>
          <cell r="BD36">
            <v>1.4158409953928535</v>
          </cell>
          <cell r="BE36">
            <v>1.05</v>
          </cell>
          <cell r="BF36">
            <v>1.6500000000000001</v>
          </cell>
          <cell r="BG36">
            <v>1.25</v>
          </cell>
          <cell r="BH36">
            <v>2.0499999999999998</v>
          </cell>
          <cell r="BI36">
            <v>1.85</v>
          </cell>
          <cell r="BJ36">
            <v>75.199999999999989</v>
          </cell>
          <cell r="BK36">
            <v>62.65</v>
          </cell>
          <cell r="BL36">
            <v>50.15</v>
          </cell>
          <cell r="BM36">
            <v>4</v>
          </cell>
          <cell r="BN36">
            <v>0.28316819907857066</v>
          </cell>
          <cell r="BO36">
            <v>50</v>
          </cell>
          <cell r="BP36">
            <v>66</v>
          </cell>
          <cell r="BQ36">
            <v>70</v>
          </cell>
          <cell r="BR36">
            <v>72.5</v>
          </cell>
          <cell r="BS36">
            <v>73</v>
          </cell>
          <cell r="BT36">
            <v>70</v>
          </cell>
          <cell r="BU36">
            <v>69</v>
          </cell>
          <cell r="BV36">
            <v>70</v>
          </cell>
          <cell r="BW36">
            <v>76</v>
          </cell>
          <cell r="BX36">
            <v>74</v>
          </cell>
          <cell r="BY36">
            <v>67</v>
          </cell>
          <cell r="BZ36">
            <v>76.400000000000006</v>
          </cell>
          <cell r="CA36">
            <v>73.5</v>
          </cell>
          <cell r="CB36">
            <v>68.5</v>
          </cell>
          <cell r="CC36">
            <v>74.5</v>
          </cell>
          <cell r="CD36">
            <v>73</v>
          </cell>
          <cell r="CE36">
            <v>3.8999999999999995</v>
          </cell>
          <cell r="CF36">
            <v>3.8999999999999995</v>
          </cell>
          <cell r="CG36">
            <v>3.9999999999999996</v>
          </cell>
          <cell r="CH36">
            <v>3.9999999999999996</v>
          </cell>
          <cell r="CI36">
            <v>3.8499999999999996</v>
          </cell>
          <cell r="CJ36">
            <v>6.1</v>
          </cell>
          <cell r="CK36">
            <v>5.8</v>
          </cell>
          <cell r="CL36">
            <v>3.0999999999999996</v>
          </cell>
          <cell r="CM36">
            <v>9.6</v>
          </cell>
          <cell r="CN36">
            <v>3.95</v>
          </cell>
          <cell r="CO36">
            <v>1.5</v>
          </cell>
          <cell r="CP36">
            <v>220</v>
          </cell>
        </row>
        <row r="37">
          <cell r="A37">
            <v>34</v>
          </cell>
          <cell r="B37">
            <v>2050</v>
          </cell>
          <cell r="C37">
            <v>0.85</v>
          </cell>
          <cell r="D37">
            <v>1.05</v>
          </cell>
          <cell r="E37">
            <v>1.25</v>
          </cell>
          <cell r="F37">
            <v>0</v>
          </cell>
          <cell r="G37">
            <v>75</v>
          </cell>
          <cell r="H37">
            <v>88.235294117647058</v>
          </cell>
          <cell r="I37">
            <v>4.0999999999999996</v>
          </cell>
          <cell r="J37">
            <v>4.8</v>
          </cell>
          <cell r="K37">
            <v>83.550000000000011</v>
          </cell>
          <cell r="L37">
            <v>79.550000000000011</v>
          </cell>
          <cell r="M37">
            <v>70.050000000000011</v>
          </cell>
          <cell r="N37">
            <v>67.550000000000011</v>
          </cell>
          <cell r="O37">
            <v>63.550000000000011</v>
          </cell>
          <cell r="P37">
            <v>82.050000000000011</v>
          </cell>
          <cell r="Q37">
            <v>89.550000000000011</v>
          </cell>
          <cell r="R37">
            <v>69.55</v>
          </cell>
          <cell r="S37">
            <v>4.0999999999999996</v>
          </cell>
          <cell r="T37">
            <v>3.8999999999999995</v>
          </cell>
          <cell r="U37">
            <v>3.5999999999999996</v>
          </cell>
          <cell r="V37">
            <v>5.05</v>
          </cell>
          <cell r="W37">
            <v>11.5</v>
          </cell>
          <cell r="X37">
            <v>33.4</v>
          </cell>
          <cell r="Y37">
            <v>50.15</v>
          </cell>
          <cell r="Z37">
            <v>83.550000000000011</v>
          </cell>
          <cell r="AA37">
            <v>49.3</v>
          </cell>
          <cell r="AB37">
            <v>9.8000000000000007</v>
          </cell>
          <cell r="AC37">
            <v>28.4</v>
          </cell>
          <cell r="AD37">
            <v>42.65</v>
          </cell>
          <cell r="AE37">
            <v>71</v>
          </cell>
          <cell r="AF37">
            <v>41.900000000000006</v>
          </cell>
          <cell r="AG37">
            <v>88.235294117647058</v>
          </cell>
          <cell r="AH37">
            <v>75.650000000000006</v>
          </cell>
          <cell r="AI37">
            <v>71.950000000000017</v>
          </cell>
          <cell r="AJ37">
            <v>65.050000000000011</v>
          </cell>
          <cell r="AK37">
            <v>57.300000000000011</v>
          </cell>
          <cell r="AL37">
            <v>3.8999999999999995</v>
          </cell>
          <cell r="AM37">
            <v>33.4</v>
          </cell>
          <cell r="AN37">
            <v>50.15</v>
          </cell>
          <cell r="AO37">
            <v>83.550000000000011</v>
          </cell>
          <cell r="AP37">
            <v>3.8999999999999995</v>
          </cell>
          <cell r="AQ37">
            <v>3.8999999999999995</v>
          </cell>
          <cell r="AR37">
            <v>3.8999999999999995</v>
          </cell>
          <cell r="AS37">
            <v>3.8999999999999995</v>
          </cell>
          <cell r="AT37">
            <v>3.8999999999999995</v>
          </cell>
          <cell r="AU37">
            <v>3.8999999999999995</v>
          </cell>
          <cell r="AV37">
            <v>83.550000000000011</v>
          </cell>
          <cell r="AW37">
            <v>0.19600000000000001</v>
          </cell>
          <cell r="AX37">
            <v>0.19600000000000001</v>
          </cell>
          <cell r="AY37">
            <v>0.19600000000000001</v>
          </cell>
          <cell r="AZ37">
            <v>0.19600000000000001</v>
          </cell>
          <cell r="BA37">
            <v>0.19600000000000001</v>
          </cell>
          <cell r="BB37">
            <v>19.863750562144144</v>
          </cell>
          <cell r="BC37">
            <v>17.480100494686845</v>
          </cell>
          <cell r="BD37">
            <v>1.4158409953928535</v>
          </cell>
          <cell r="BE37">
            <v>1.05</v>
          </cell>
          <cell r="BF37">
            <v>1.6500000000000001</v>
          </cell>
          <cell r="BG37">
            <v>1.25</v>
          </cell>
          <cell r="BH37">
            <v>2.0499999999999998</v>
          </cell>
          <cell r="BI37">
            <v>1.85</v>
          </cell>
          <cell r="BJ37">
            <v>75.199999999999989</v>
          </cell>
          <cell r="BK37">
            <v>62.65</v>
          </cell>
          <cell r="BL37">
            <v>50.15</v>
          </cell>
          <cell r="BM37">
            <v>4</v>
          </cell>
          <cell r="BN37">
            <v>0.28316819907857066</v>
          </cell>
          <cell r="BO37">
            <v>50</v>
          </cell>
          <cell r="BP37">
            <v>66</v>
          </cell>
          <cell r="BQ37">
            <v>70</v>
          </cell>
          <cell r="BR37">
            <v>72.5</v>
          </cell>
          <cell r="BS37">
            <v>73</v>
          </cell>
          <cell r="BT37">
            <v>70</v>
          </cell>
          <cell r="BU37">
            <v>69</v>
          </cell>
          <cell r="BV37">
            <v>70</v>
          </cell>
          <cell r="BW37">
            <v>76</v>
          </cell>
          <cell r="BX37">
            <v>74</v>
          </cell>
          <cell r="BY37">
            <v>67</v>
          </cell>
          <cell r="BZ37">
            <v>76.400000000000006</v>
          </cell>
          <cell r="CA37">
            <v>73.5</v>
          </cell>
          <cell r="CB37">
            <v>68.5</v>
          </cell>
          <cell r="CC37">
            <v>74.5</v>
          </cell>
          <cell r="CD37">
            <v>73</v>
          </cell>
          <cell r="CE37">
            <v>3.8999999999999995</v>
          </cell>
          <cell r="CF37">
            <v>3.8999999999999995</v>
          </cell>
          <cell r="CG37">
            <v>3.9999999999999996</v>
          </cell>
          <cell r="CH37">
            <v>3.9999999999999996</v>
          </cell>
          <cell r="CI37">
            <v>3.8499999999999996</v>
          </cell>
          <cell r="CJ37">
            <v>6.1</v>
          </cell>
          <cell r="CK37">
            <v>5.8</v>
          </cell>
          <cell r="CL37">
            <v>3.0999999999999996</v>
          </cell>
          <cell r="CM37">
            <v>9.6</v>
          </cell>
          <cell r="CN37">
            <v>3.95</v>
          </cell>
          <cell r="CO37">
            <v>1.5</v>
          </cell>
          <cell r="CP37">
            <v>220</v>
          </cell>
        </row>
        <row r="38">
          <cell r="A38">
            <v>35</v>
          </cell>
          <cell r="B38">
            <v>2051</v>
          </cell>
          <cell r="C38">
            <v>0.85</v>
          </cell>
          <cell r="D38">
            <v>1.05</v>
          </cell>
          <cell r="E38">
            <v>1.25</v>
          </cell>
          <cell r="F38">
            <v>0</v>
          </cell>
          <cell r="G38">
            <v>75</v>
          </cell>
          <cell r="H38">
            <v>88.235294117647058</v>
          </cell>
          <cell r="I38">
            <v>4.0999999999999996</v>
          </cell>
          <cell r="J38">
            <v>4.8</v>
          </cell>
          <cell r="K38">
            <v>83.550000000000011</v>
          </cell>
          <cell r="L38">
            <v>79.550000000000011</v>
          </cell>
          <cell r="M38">
            <v>70.050000000000011</v>
          </cell>
          <cell r="N38">
            <v>67.550000000000011</v>
          </cell>
          <cell r="O38">
            <v>63.550000000000011</v>
          </cell>
          <cell r="P38">
            <v>82.050000000000011</v>
          </cell>
          <cell r="Q38">
            <v>89.550000000000011</v>
          </cell>
          <cell r="R38">
            <v>69.55</v>
          </cell>
          <cell r="S38">
            <v>4.0999999999999996</v>
          </cell>
          <cell r="T38">
            <v>3.8999999999999995</v>
          </cell>
          <cell r="U38">
            <v>3.5999999999999996</v>
          </cell>
          <cell r="V38">
            <v>5.05</v>
          </cell>
          <cell r="W38">
            <v>11.5</v>
          </cell>
          <cell r="X38">
            <v>33.4</v>
          </cell>
          <cell r="Y38">
            <v>50.15</v>
          </cell>
          <cell r="Z38">
            <v>83.550000000000011</v>
          </cell>
          <cell r="AA38">
            <v>49.3</v>
          </cell>
          <cell r="AB38">
            <v>9.8000000000000007</v>
          </cell>
          <cell r="AC38">
            <v>28.4</v>
          </cell>
          <cell r="AD38">
            <v>42.65</v>
          </cell>
          <cell r="AE38">
            <v>71</v>
          </cell>
          <cell r="AF38">
            <v>41.900000000000006</v>
          </cell>
          <cell r="AG38">
            <v>88.235294117647058</v>
          </cell>
          <cell r="AH38">
            <v>75.650000000000006</v>
          </cell>
          <cell r="AI38">
            <v>71.950000000000017</v>
          </cell>
          <cell r="AJ38">
            <v>65.050000000000011</v>
          </cell>
          <cell r="AK38">
            <v>57.300000000000011</v>
          </cell>
          <cell r="AL38">
            <v>3.8999999999999995</v>
          </cell>
          <cell r="AM38">
            <v>33.4</v>
          </cell>
          <cell r="AN38">
            <v>50.15</v>
          </cell>
          <cell r="AO38">
            <v>83.550000000000011</v>
          </cell>
          <cell r="AP38">
            <v>3.8999999999999995</v>
          </cell>
          <cell r="AQ38">
            <v>3.8999999999999995</v>
          </cell>
          <cell r="AR38">
            <v>3.8999999999999995</v>
          </cell>
          <cell r="AS38">
            <v>3.8999999999999995</v>
          </cell>
          <cell r="AT38">
            <v>3.8999999999999995</v>
          </cell>
          <cell r="AU38">
            <v>3.8999999999999995</v>
          </cell>
          <cell r="AV38">
            <v>83.550000000000011</v>
          </cell>
          <cell r="AW38">
            <v>0.19600000000000001</v>
          </cell>
          <cell r="AX38">
            <v>0.19600000000000001</v>
          </cell>
          <cell r="AY38">
            <v>0.19600000000000001</v>
          </cell>
          <cell r="AZ38">
            <v>0.19600000000000001</v>
          </cell>
          <cell r="BA38">
            <v>0.19600000000000001</v>
          </cell>
          <cell r="BB38">
            <v>19.863750562144144</v>
          </cell>
          <cell r="BC38">
            <v>17.480100494686845</v>
          </cell>
          <cell r="BD38">
            <v>1.4158409953928535</v>
          </cell>
          <cell r="BE38">
            <v>1.05</v>
          </cell>
          <cell r="BF38">
            <v>1.6500000000000001</v>
          </cell>
          <cell r="BG38">
            <v>1.25</v>
          </cell>
          <cell r="BH38">
            <v>2.0499999999999998</v>
          </cell>
          <cell r="BI38">
            <v>1.85</v>
          </cell>
          <cell r="BJ38">
            <v>75.199999999999989</v>
          </cell>
          <cell r="BK38">
            <v>62.65</v>
          </cell>
          <cell r="BL38">
            <v>50.15</v>
          </cell>
          <cell r="BM38">
            <v>4</v>
          </cell>
          <cell r="BN38">
            <v>0.28316819907857066</v>
          </cell>
          <cell r="BO38">
            <v>50</v>
          </cell>
          <cell r="BP38">
            <v>66</v>
          </cell>
          <cell r="BQ38">
            <v>70</v>
          </cell>
          <cell r="BR38">
            <v>72.5</v>
          </cell>
          <cell r="BS38">
            <v>73</v>
          </cell>
          <cell r="BT38">
            <v>70</v>
          </cell>
          <cell r="BU38">
            <v>69</v>
          </cell>
          <cell r="BV38">
            <v>70</v>
          </cell>
          <cell r="BW38">
            <v>76</v>
          </cell>
          <cell r="BX38">
            <v>74</v>
          </cell>
          <cell r="BY38">
            <v>67</v>
          </cell>
          <cell r="BZ38">
            <v>76.400000000000006</v>
          </cell>
          <cell r="CA38">
            <v>73.5</v>
          </cell>
          <cell r="CB38">
            <v>68.5</v>
          </cell>
          <cell r="CC38">
            <v>74.5</v>
          </cell>
          <cell r="CD38">
            <v>73</v>
          </cell>
          <cell r="CE38">
            <v>3.8999999999999995</v>
          </cell>
          <cell r="CF38">
            <v>3.8999999999999995</v>
          </cell>
          <cell r="CG38">
            <v>3.9999999999999996</v>
          </cell>
          <cell r="CH38">
            <v>3.9999999999999996</v>
          </cell>
          <cell r="CI38">
            <v>3.8499999999999996</v>
          </cell>
          <cell r="CJ38">
            <v>6.1</v>
          </cell>
          <cell r="CK38">
            <v>5.8</v>
          </cell>
          <cell r="CL38">
            <v>3.0999999999999996</v>
          </cell>
          <cell r="CM38">
            <v>9.6</v>
          </cell>
          <cell r="CN38">
            <v>3.95</v>
          </cell>
          <cell r="CO38">
            <v>1.5</v>
          </cell>
          <cell r="CP38">
            <v>220</v>
          </cell>
        </row>
        <row r="39">
          <cell r="A39">
            <v>36</v>
          </cell>
          <cell r="B39">
            <v>2052</v>
          </cell>
          <cell r="C39">
            <v>0.85</v>
          </cell>
          <cell r="D39">
            <v>1.05</v>
          </cell>
          <cell r="E39">
            <v>1.25</v>
          </cell>
          <cell r="F39">
            <v>0</v>
          </cell>
          <cell r="G39">
            <v>75</v>
          </cell>
          <cell r="H39">
            <v>88.235294117647058</v>
          </cell>
          <cell r="I39">
            <v>4.0999999999999996</v>
          </cell>
          <cell r="J39">
            <v>4.8</v>
          </cell>
          <cell r="K39">
            <v>83.550000000000011</v>
          </cell>
          <cell r="L39">
            <v>79.550000000000011</v>
          </cell>
          <cell r="M39">
            <v>70.050000000000011</v>
          </cell>
          <cell r="N39">
            <v>67.550000000000011</v>
          </cell>
          <cell r="O39">
            <v>63.550000000000011</v>
          </cell>
          <cell r="P39">
            <v>82.050000000000011</v>
          </cell>
          <cell r="Q39">
            <v>89.550000000000011</v>
          </cell>
          <cell r="R39">
            <v>69.55</v>
          </cell>
          <cell r="S39">
            <v>4.0999999999999996</v>
          </cell>
          <cell r="T39">
            <v>3.8999999999999995</v>
          </cell>
          <cell r="U39">
            <v>3.5999999999999996</v>
          </cell>
          <cell r="V39">
            <v>5.05</v>
          </cell>
          <cell r="W39">
            <v>11.5</v>
          </cell>
          <cell r="X39">
            <v>33.4</v>
          </cell>
          <cell r="Y39">
            <v>50.15</v>
          </cell>
          <cell r="Z39">
            <v>83.550000000000011</v>
          </cell>
          <cell r="AA39">
            <v>49.3</v>
          </cell>
          <cell r="AB39">
            <v>9.8000000000000007</v>
          </cell>
          <cell r="AC39">
            <v>28.4</v>
          </cell>
          <cell r="AD39">
            <v>42.65</v>
          </cell>
          <cell r="AE39">
            <v>71</v>
          </cell>
          <cell r="AF39">
            <v>41.900000000000006</v>
          </cell>
          <cell r="AG39">
            <v>88.235294117647058</v>
          </cell>
          <cell r="AH39">
            <v>75.650000000000006</v>
          </cell>
          <cell r="AI39">
            <v>71.950000000000017</v>
          </cell>
          <cell r="AJ39">
            <v>65.050000000000011</v>
          </cell>
          <cell r="AK39">
            <v>57.300000000000011</v>
          </cell>
          <cell r="AL39">
            <v>3.8999999999999995</v>
          </cell>
          <cell r="AM39">
            <v>33.4</v>
          </cell>
          <cell r="AN39">
            <v>50.15</v>
          </cell>
          <cell r="AO39">
            <v>83.550000000000011</v>
          </cell>
          <cell r="AP39">
            <v>3.8999999999999995</v>
          </cell>
          <cell r="AQ39">
            <v>3.8999999999999995</v>
          </cell>
          <cell r="AR39">
            <v>3.8999999999999995</v>
          </cell>
          <cell r="AS39">
            <v>3.8999999999999995</v>
          </cell>
          <cell r="AT39">
            <v>3.8999999999999995</v>
          </cell>
          <cell r="AU39">
            <v>3.8999999999999995</v>
          </cell>
          <cell r="AV39">
            <v>83.550000000000011</v>
          </cell>
          <cell r="AW39">
            <v>0.19600000000000001</v>
          </cell>
          <cell r="AX39">
            <v>0.19600000000000001</v>
          </cell>
          <cell r="AY39">
            <v>0.19600000000000001</v>
          </cell>
          <cell r="AZ39">
            <v>0.19600000000000001</v>
          </cell>
          <cell r="BA39">
            <v>0.19600000000000001</v>
          </cell>
          <cell r="BB39">
            <v>19.863750562144144</v>
          </cell>
          <cell r="BC39">
            <v>17.480100494686845</v>
          </cell>
          <cell r="BD39">
            <v>1.4158409953928535</v>
          </cell>
          <cell r="BE39">
            <v>1.05</v>
          </cell>
          <cell r="BF39">
            <v>1.6500000000000001</v>
          </cell>
          <cell r="BG39">
            <v>1.25</v>
          </cell>
          <cell r="BH39">
            <v>2.0499999999999998</v>
          </cell>
          <cell r="BI39">
            <v>1.85</v>
          </cell>
          <cell r="BJ39">
            <v>75.199999999999989</v>
          </cell>
          <cell r="BK39">
            <v>62.65</v>
          </cell>
          <cell r="BL39">
            <v>50.15</v>
          </cell>
          <cell r="BM39">
            <v>4</v>
          </cell>
          <cell r="BN39">
            <v>0.28316819907857066</v>
          </cell>
          <cell r="BO39">
            <v>50</v>
          </cell>
          <cell r="BP39">
            <v>66</v>
          </cell>
          <cell r="BQ39">
            <v>70</v>
          </cell>
          <cell r="BR39">
            <v>72.5</v>
          </cell>
          <cell r="BS39">
            <v>73</v>
          </cell>
          <cell r="BT39">
            <v>70</v>
          </cell>
          <cell r="BU39">
            <v>69</v>
          </cell>
          <cell r="BV39">
            <v>70</v>
          </cell>
          <cell r="BW39">
            <v>76</v>
          </cell>
          <cell r="BX39">
            <v>74</v>
          </cell>
          <cell r="BY39">
            <v>67</v>
          </cell>
          <cell r="BZ39">
            <v>76.400000000000006</v>
          </cell>
          <cell r="CA39">
            <v>73.5</v>
          </cell>
          <cell r="CB39">
            <v>68.5</v>
          </cell>
          <cell r="CC39">
            <v>74.5</v>
          </cell>
          <cell r="CD39">
            <v>73</v>
          </cell>
          <cell r="CE39">
            <v>3.8999999999999995</v>
          </cell>
          <cell r="CF39">
            <v>3.8999999999999995</v>
          </cell>
          <cell r="CG39">
            <v>3.9999999999999996</v>
          </cell>
          <cell r="CH39">
            <v>3.9999999999999996</v>
          </cell>
          <cell r="CI39">
            <v>3.8499999999999996</v>
          </cell>
          <cell r="CJ39">
            <v>6.1</v>
          </cell>
          <cell r="CK39">
            <v>5.8</v>
          </cell>
          <cell r="CL39">
            <v>3.0999999999999996</v>
          </cell>
          <cell r="CM39">
            <v>9.6</v>
          </cell>
          <cell r="CN39">
            <v>3.95</v>
          </cell>
          <cell r="CO39">
            <v>1.5</v>
          </cell>
          <cell r="CP39">
            <v>220</v>
          </cell>
        </row>
        <row r="40">
          <cell r="A40">
            <v>37</v>
          </cell>
          <cell r="B40">
            <v>2053</v>
          </cell>
          <cell r="C40">
            <v>0.85</v>
          </cell>
          <cell r="D40">
            <v>1.05</v>
          </cell>
          <cell r="E40">
            <v>1.25</v>
          </cell>
          <cell r="F40">
            <v>0</v>
          </cell>
          <cell r="G40">
            <v>75</v>
          </cell>
          <cell r="H40">
            <v>88.235294117647058</v>
          </cell>
          <cell r="I40">
            <v>4.0999999999999996</v>
          </cell>
          <cell r="J40">
            <v>4.8</v>
          </cell>
          <cell r="K40">
            <v>83.550000000000011</v>
          </cell>
          <cell r="L40">
            <v>79.550000000000011</v>
          </cell>
          <cell r="M40">
            <v>70.050000000000011</v>
          </cell>
          <cell r="N40">
            <v>67.550000000000011</v>
          </cell>
          <cell r="O40">
            <v>63.550000000000011</v>
          </cell>
          <cell r="P40">
            <v>82.050000000000011</v>
          </cell>
          <cell r="Q40">
            <v>89.550000000000011</v>
          </cell>
          <cell r="R40">
            <v>69.55</v>
          </cell>
          <cell r="S40">
            <v>4.0999999999999996</v>
          </cell>
          <cell r="T40">
            <v>3.8999999999999995</v>
          </cell>
          <cell r="U40">
            <v>3.5999999999999996</v>
          </cell>
          <cell r="V40">
            <v>5.05</v>
          </cell>
          <cell r="W40">
            <v>11.5</v>
          </cell>
          <cell r="X40">
            <v>33.4</v>
          </cell>
          <cell r="Y40">
            <v>50.15</v>
          </cell>
          <cell r="Z40">
            <v>83.550000000000011</v>
          </cell>
          <cell r="AA40">
            <v>49.3</v>
          </cell>
          <cell r="AB40">
            <v>9.8000000000000007</v>
          </cell>
          <cell r="AC40">
            <v>28.4</v>
          </cell>
          <cell r="AD40">
            <v>42.65</v>
          </cell>
          <cell r="AE40">
            <v>71</v>
          </cell>
          <cell r="AF40">
            <v>41.900000000000006</v>
          </cell>
          <cell r="AG40">
            <v>88.235294117647058</v>
          </cell>
          <cell r="AH40">
            <v>75.650000000000006</v>
          </cell>
          <cell r="AI40">
            <v>71.950000000000017</v>
          </cell>
          <cell r="AJ40">
            <v>65.050000000000011</v>
          </cell>
          <cell r="AK40">
            <v>57.300000000000011</v>
          </cell>
          <cell r="AL40">
            <v>3.8999999999999995</v>
          </cell>
          <cell r="AM40">
            <v>33.4</v>
          </cell>
          <cell r="AN40">
            <v>50.15</v>
          </cell>
          <cell r="AO40">
            <v>83.550000000000011</v>
          </cell>
          <cell r="AP40">
            <v>3.8999999999999995</v>
          </cell>
          <cell r="AQ40">
            <v>3.8999999999999995</v>
          </cell>
          <cell r="AR40">
            <v>3.8999999999999995</v>
          </cell>
          <cell r="AS40">
            <v>3.8999999999999995</v>
          </cell>
          <cell r="AT40">
            <v>3.8999999999999995</v>
          </cell>
          <cell r="AU40">
            <v>3.8999999999999995</v>
          </cell>
          <cell r="AV40">
            <v>83.550000000000011</v>
          </cell>
          <cell r="AW40">
            <v>0.19600000000000001</v>
          </cell>
          <cell r="AX40">
            <v>0.19600000000000001</v>
          </cell>
          <cell r="AY40">
            <v>0.19600000000000001</v>
          </cell>
          <cell r="AZ40">
            <v>0.19600000000000001</v>
          </cell>
          <cell r="BA40">
            <v>0.19600000000000001</v>
          </cell>
          <cell r="BB40">
            <v>19.863750562144144</v>
          </cell>
          <cell r="BC40">
            <v>17.480100494686845</v>
          </cell>
          <cell r="BD40">
            <v>1.4158409953928535</v>
          </cell>
          <cell r="BE40">
            <v>1.05</v>
          </cell>
          <cell r="BF40">
            <v>1.6500000000000001</v>
          </cell>
          <cell r="BG40">
            <v>1.25</v>
          </cell>
          <cell r="BH40">
            <v>2.0499999999999998</v>
          </cell>
          <cell r="BI40">
            <v>1.85</v>
          </cell>
          <cell r="BJ40">
            <v>75.199999999999989</v>
          </cell>
          <cell r="BK40">
            <v>62.65</v>
          </cell>
          <cell r="BL40">
            <v>50.15</v>
          </cell>
          <cell r="BM40">
            <v>4</v>
          </cell>
          <cell r="BN40">
            <v>0.28316819907857066</v>
          </cell>
          <cell r="BO40">
            <v>50</v>
          </cell>
          <cell r="BP40">
            <v>66</v>
          </cell>
          <cell r="BQ40">
            <v>70</v>
          </cell>
          <cell r="BR40">
            <v>72.5</v>
          </cell>
          <cell r="BS40">
            <v>73</v>
          </cell>
          <cell r="BT40">
            <v>70</v>
          </cell>
          <cell r="BU40">
            <v>69</v>
          </cell>
          <cell r="BV40">
            <v>70</v>
          </cell>
          <cell r="BW40">
            <v>76</v>
          </cell>
          <cell r="BX40">
            <v>74</v>
          </cell>
          <cell r="BY40">
            <v>67</v>
          </cell>
          <cell r="BZ40">
            <v>76.400000000000006</v>
          </cell>
          <cell r="CA40">
            <v>73.5</v>
          </cell>
          <cell r="CB40">
            <v>68.5</v>
          </cell>
          <cell r="CC40">
            <v>74.5</v>
          </cell>
          <cell r="CD40">
            <v>73</v>
          </cell>
          <cell r="CE40">
            <v>3.8999999999999995</v>
          </cell>
          <cell r="CF40">
            <v>3.8999999999999995</v>
          </cell>
          <cell r="CG40">
            <v>3.9999999999999996</v>
          </cell>
          <cell r="CH40">
            <v>3.9999999999999996</v>
          </cell>
          <cell r="CI40">
            <v>3.8499999999999996</v>
          </cell>
          <cell r="CJ40">
            <v>6.1</v>
          </cell>
          <cell r="CK40">
            <v>5.8</v>
          </cell>
          <cell r="CL40">
            <v>3.0999999999999996</v>
          </cell>
          <cell r="CM40">
            <v>9.6</v>
          </cell>
          <cell r="CN40">
            <v>3.95</v>
          </cell>
          <cell r="CO40">
            <v>1.5</v>
          </cell>
          <cell r="CP40">
            <v>220</v>
          </cell>
        </row>
        <row r="41">
          <cell r="A41">
            <v>38</v>
          </cell>
          <cell r="B41">
            <v>2054</v>
          </cell>
          <cell r="C41">
            <v>0.85</v>
          </cell>
          <cell r="D41">
            <v>1.05</v>
          </cell>
          <cell r="E41">
            <v>1.25</v>
          </cell>
          <cell r="F41">
            <v>0</v>
          </cell>
          <cell r="G41">
            <v>75</v>
          </cell>
          <cell r="H41">
            <v>88.235294117647058</v>
          </cell>
          <cell r="I41">
            <v>4.0999999999999996</v>
          </cell>
          <cell r="J41">
            <v>4.8</v>
          </cell>
          <cell r="K41">
            <v>83.550000000000011</v>
          </cell>
          <cell r="L41">
            <v>79.550000000000011</v>
          </cell>
          <cell r="M41">
            <v>70.050000000000011</v>
          </cell>
          <cell r="N41">
            <v>67.550000000000011</v>
          </cell>
          <cell r="O41">
            <v>63.550000000000011</v>
          </cell>
          <cell r="P41">
            <v>82.050000000000011</v>
          </cell>
          <cell r="Q41">
            <v>89.550000000000011</v>
          </cell>
          <cell r="R41">
            <v>69.55</v>
          </cell>
          <cell r="S41">
            <v>4.0999999999999996</v>
          </cell>
          <cell r="T41">
            <v>3.8999999999999995</v>
          </cell>
          <cell r="U41">
            <v>3.5999999999999996</v>
          </cell>
          <cell r="V41">
            <v>5.05</v>
          </cell>
          <cell r="W41">
            <v>11.5</v>
          </cell>
          <cell r="X41">
            <v>33.4</v>
          </cell>
          <cell r="Y41">
            <v>50.15</v>
          </cell>
          <cell r="Z41">
            <v>83.550000000000011</v>
          </cell>
          <cell r="AA41">
            <v>49.3</v>
          </cell>
          <cell r="AB41">
            <v>9.8000000000000007</v>
          </cell>
          <cell r="AC41">
            <v>28.4</v>
          </cell>
          <cell r="AD41">
            <v>42.65</v>
          </cell>
          <cell r="AE41">
            <v>71</v>
          </cell>
          <cell r="AF41">
            <v>41.900000000000006</v>
          </cell>
          <cell r="AG41">
            <v>88.235294117647058</v>
          </cell>
          <cell r="AH41">
            <v>75.650000000000006</v>
          </cell>
          <cell r="AI41">
            <v>71.950000000000017</v>
          </cell>
          <cell r="AJ41">
            <v>65.050000000000011</v>
          </cell>
          <cell r="AK41">
            <v>57.300000000000011</v>
          </cell>
          <cell r="AL41">
            <v>3.8999999999999995</v>
          </cell>
          <cell r="AM41">
            <v>33.4</v>
          </cell>
          <cell r="AN41">
            <v>50.15</v>
          </cell>
          <cell r="AO41">
            <v>83.550000000000011</v>
          </cell>
          <cell r="AP41">
            <v>3.8999999999999995</v>
          </cell>
          <cell r="AQ41">
            <v>3.8999999999999995</v>
          </cell>
          <cell r="AR41">
            <v>3.8999999999999995</v>
          </cell>
          <cell r="AS41">
            <v>3.8999999999999995</v>
          </cell>
          <cell r="AT41">
            <v>3.8999999999999995</v>
          </cell>
          <cell r="AU41">
            <v>3.8999999999999995</v>
          </cell>
          <cell r="AV41">
            <v>83.550000000000011</v>
          </cell>
          <cell r="AW41">
            <v>0.19600000000000001</v>
          </cell>
          <cell r="AX41">
            <v>0.19600000000000001</v>
          </cell>
          <cell r="AY41">
            <v>0.19600000000000001</v>
          </cell>
          <cell r="AZ41">
            <v>0.19600000000000001</v>
          </cell>
          <cell r="BA41">
            <v>0.19600000000000001</v>
          </cell>
          <cell r="BB41">
            <v>19.863750562144144</v>
          </cell>
          <cell r="BC41">
            <v>17.480100494686845</v>
          </cell>
          <cell r="BD41">
            <v>1.4158409953928535</v>
          </cell>
          <cell r="BE41">
            <v>1.05</v>
          </cell>
          <cell r="BF41">
            <v>1.6500000000000001</v>
          </cell>
          <cell r="BG41">
            <v>1.25</v>
          </cell>
          <cell r="BH41">
            <v>2.0499999999999998</v>
          </cell>
          <cell r="BI41">
            <v>1.85</v>
          </cell>
          <cell r="BJ41">
            <v>75.199999999999989</v>
          </cell>
          <cell r="BK41">
            <v>62.65</v>
          </cell>
          <cell r="BL41">
            <v>50.15</v>
          </cell>
          <cell r="BM41">
            <v>4</v>
          </cell>
          <cell r="BN41">
            <v>0.28316819907857066</v>
          </cell>
          <cell r="BO41">
            <v>50</v>
          </cell>
          <cell r="BP41">
            <v>66</v>
          </cell>
          <cell r="BQ41">
            <v>70</v>
          </cell>
          <cell r="BR41">
            <v>72.5</v>
          </cell>
          <cell r="BS41">
            <v>73</v>
          </cell>
          <cell r="BT41">
            <v>70</v>
          </cell>
          <cell r="BU41">
            <v>69</v>
          </cell>
          <cell r="BV41">
            <v>70</v>
          </cell>
          <cell r="BW41">
            <v>76</v>
          </cell>
          <cell r="BX41">
            <v>74</v>
          </cell>
          <cell r="BY41">
            <v>67</v>
          </cell>
          <cell r="BZ41">
            <v>76.400000000000006</v>
          </cell>
          <cell r="CA41">
            <v>73.5</v>
          </cell>
          <cell r="CB41">
            <v>68.5</v>
          </cell>
          <cell r="CC41">
            <v>74.5</v>
          </cell>
          <cell r="CD41">
            <v>73</v>
          </cell>
          <cell r="CE41">
            <v>3.8999999999999995</v>
          </cell>
          <cell r="CF41">
            <v>3.8999999999999995</v>
          </cell>
          <cell r="CG41">
            <v>3.9999999999999996</v>
          </cell>
          <cell r="CH41">
            <v>3.9999999999999996</v>
          </cell>
          <cell r="CI41">
            <v>3.8499999999999996</v>
          </cell>
          <cell r="CJ41">
            <v>6.1</v>
          </cell>
          <cell r="CK41">
            <v>5.8</v>
          </cell>
          <cell r="CL41">
            <v>3.0999999999999996</v>
          </cell>
          <cell r="CM41">
            <v>9.6</v>
          </cell>
          <cell r="CN41">
            <v>3.95</v>
          </cell>
          <cell r="CO41">
            <v>1.5</v>
          </cell>
          <cell r="CP41">
            <v>220</v>
          </cell>
        </row>
        <row r="42">
          <cell r="A42">
            <v>39</v>
          </cell>
          <cell r="B42">
            <v>2055</v>
          </cell>
          <cell r="C42">
            <v>0.85</v>
          </cell>
          <cell r="D42">
            <v>1.05</v>
          </cell>
          <cell r="E42">
            <v>1.25</v>
          </cell>
          <cell r="F42">
            <v>0</v>
          </cell>
          <cell r="G42">
            <v>75</v>
          </cell>
          <cell r="H42">
            <v>88.235294117647058</v>
          </cell>
          <cell r="I42">
            <v>4.0999999999999996</v>
          </cell>
          <cell r="J42">
            <v>4.8</v>
          </cell>
          <cell r="K42">
            <v>83.550000000000011</v>
          </cell>
          <cell r="L42">
            <v>79.550000000000011</v>
          </cell>
          <cell r="M42">
            <v>70.050000000000011</v>
          </cell>
          <cell r="N42">
            <v>67.550000000000011</v>
          </cell>
          <cell r="O42">
            <v>63.550000000000011</v>
          </cell>
          <cell r="P42">
            <v>82.050000000000011</v>
          </cell>
          <cell r="Q42">
            <v>89.550000000000011</v>
          </cell>
          <cell r="R42">
            <v>69.55</v>
          </cell>
          <cell r="S42">
            <v>4.0999999999999996</v>
          </cell>
          <cell r="T42">
            <v>3.8999999999999995</v>
          </cell>
          <cell r="U42">
            <v>3.5999999999999996</v>
          </cell>
          <cell r="V42">
            <v>5.05</v>
          </cell>
          <cell r="W42">
            <v>11.5</v>
          </cell>
          <cell r="X42">
            <v>33.4</v>
          </cell>
          <cell r="Y42">
            <v>50.15</v>
          </cell>
          <cell r="Z42">
            <v>83.550000000000011</v>
          </cell>
          <cell r="AA42">
            <v>49.3</v>
          </cell>
          <cell r="AB42">
            <v>9.8000000000000007</v>
          </cell>
          <cell r="AC42">
            <v>28.4</v>
          </cell>
          <cell r="AD42">
            <v>42.65</v>
          </cell>
          <cell r="AE42">
            <v>71</v>
          </cell>
          <cell r="AF42">
            <v>41.900000000000006</v>
          </cell>
          <cell r="AG42">
            <v>88.235294117647058</v>
          </cell>
          <cell r="AH42">
            <v>75.650000000000006</v>
          </cell>
          <cell r="AI42">
            <v>71.950000000000017</v>
          </cell>
          <cell r="AJ42">
            <v>65.050000000000011</v>
          </cell>
          <cell r="AK42">
            <v>57.300000000000011</v>
          </cell>
          <cell r="AL42">
            <v>3.8999999999999995</v>
          </cell>
          <cell r="AM42">
            <v>33.4</v>
          </cell>
          <cell r="AN42">
            <v>50.15</v>
          </cell>
          <cell r="AO42">
            <v>83.550000000000011</v>
          </cell>
          <cell r="AP42">
            <v>3.8999999999999995</v>
          </cell>
          <cell r="AQ42">
            <v>3.8999999999999995</v>
          </cell>
          <cell r="AR42">
            <v>3.8999999999999995</v>
          </cell>
          <cell r="AS42">
            <v>3.8999999999999995</v>
          </cell>
          <cell r="AT42">
            <v>3.8999999999999995</v>
          </cell>
          <cell r="AU42">
            <v>3.8999999999999995</v>
          </cell>
          <cell r="AV42">
            <v>83.550000000000011</v>
          </cell>
          <cell r="AW42">
            <v>0.19600000000000001</v>
          </cell>
          <cell r="AX42">
            <v>0.19600000000000001</v>
          </cell>
          <cell r="AY42">
            <v>0.19600000000000001</v>
          </cell>
          <cell r="AZ42">
            <v>0.19600000000000001</v>
          </cell>
          <cell r="BA42">
            <v>0.19600000000000001</v>
          </cell>
          <cell r="BB42">
            <v>19.863750562144144</v>
          </cell>
          <cell r="BC42">
            <v>17.480100494686845</v>
          </cell>
          <cell r="BD42">
            <v>1.4158409953928535</v>
          </cell>
          <cell r="BE42">
            <v>1.05</v>
          </cell>
          <cell r="BF42">
            <v>1.6500000000000001</v>
          </cell>
          <cell r="BG42">
            <v>1.25</v>
          </cell>
          <cell r="BH42">
            <v>2.0499999999999998</v>
          </cell>
          <cell r="BI42">
            <v>1.85</v>
          </cell>
          <cell r="BJ42">
            <v>75.199999999999989</v>
          </cell>
          <cell r="BK42">
            <v>62.65</v>
          </cell>
          <cell r="BL42">
            <v>50.15</v>
          </cell>
          <cell r="BM42">
            <v>4</v>
          </cell>
          <cell r="BN42">
            <v>0.28316819907857066</v>
          </cell>
          <cell r="BO42">
            <v>50</v>
          </cell>
          <cell r="BP42">
            <v>66</v>
          </cell>
          <cell r="BQ42">
            <v>70</v>
          </cell>
          <cell r="BR42">
            <v>72.5</v>
          </cell>
          <cell r="BS42">
            <v>73</v>
          </cell>
          <cell r="BT42">
            <v>70</v>
          </cell>
          <cell r="BU42">
            <v>69</v>
          </cell>
          <cell r="BV42">
            <v>70</v>
          </cell>
          <cell r="BW42">
            <v>76</v>
          </cell>
          <cell r="BX42">
            <v>74</v>
          </cell>
          <cell r="BY42">
            <v>67</v>
          </cell>
          <cell r="BZ42">
            <v>76.400000000000006</v>
          </cell>
          <cell r="CA42">
            <v>73.5</v>
          </cell>
          <cell r="CB42">
            <v>68.5</v>
          </cell>
          <cell r="CC42">
            <v>74.5</v>
          </cell>
          <cell r="CD42">
            <v>73</v>
          </cell>
          <cell r="CE42">
            <v>3.8999999999999995</v>
          </cell>
          <cell r="CF42">
            <v>3.8999999999999995</v>
          </cell>
          <cell r="CG42">
            <v>3.9999999999999996</v>
          </cell>
          <cell r="CH42">
            <v>3.9999999999999996</v>
          </cell>
          <cell r="CI42">
            <v>3.8499999999999996</v>
          </cell>
          <cell r="CJ42">
            <v>6.1</v>
          </cell>
          <cell r="CK42">
            <v>5.8</v>
          </cell>
          <cell r="CL42">
            <v>3.0999999999999996</v>
          </cell>
          <cell r="CM42">
            <v>9.6</v>
          </cell>
          <cell r="CN42">
            <v>3.95</v>
          </cell>
          <cell r="CO42">
            <v>1.5</v>
          </cell>
          <cell r="CP42">
            <v>220</v>
          </cell>
        </row>
        <row r="43">
          <cell r="A43">
            <v>40</v>
          </cell>
          <cell r="B43">
            <v>2056</v>
          </cell>
          <cell r="C43">
            <v>0.85</v>
          </cell>
          <cell r="D43">
            <v>1.05</v>
          </cell>
          <cell r="E43">
            <v>1.25</v>
          </cell>
          <cell r="F43">
            <v>0</v>
          </cell>
          <cell r="G43">
            <v>75</v>
          </cell>
          <cell r="H43">
            <v>88.235294117647058</v>
          </cell>
          <cell r="I43">
            <v>4.0999999999999996</v>
          </cell>
          <cell r="J43">
            <v>4.8</v>
          </cell>
          <cell r="K43">
            <v>83.550000000000011</v>
          </cell>
          <cell r="L43">
            <v>79.550000000000011</v>
          </cell>
          <cell r="M43">
            <v>70.050000000000011</v>
          </cell>
          <cell r="N43">
            <v>67.550000000000011</v>
          </cell>
          <cell r="O43">
            <v>63.550000000000011</v>
          </cell>
          <cell r="P43">
            <v>82.050000000000011</v>
          </cell>
          <cell r="Q43">
            <v>89.550000000000011</v>
          </cell>
          <cell r="R43">
            <v>69.55</v>
          </cell>
          <cell r="S43">
            <v>4.0999999999999996</v>
          </cell>
          <cell r="T43">
            <v>3.8999999999999995</v>
          </cell>
          <cell r="U43">
            <v>3.5999999999999996</v>
          </cell>
          <cell r="V43">
            <v>5.05</v>
          </cell>
          <cell r="W43">
            <v>11.5</v>
          </cell>
          <cell r="X43">
            <v>33.4</v>
          </cell>
          <cell r="Y43">
            <v>50.15</v>
          </cell>
          <cell r="Z43">
            <v>83.550000000000011</v>
          </cell>
          <cell r="AA43">
            <v>49.3</v>
          </cell>
          <cell r="AB43">
            <v>9.8000000000000007</v>
          </cell>
          <cell r="AC43">
            <v>28.4</v>
          </cell>
          <cell r="AD43">
            <v>42.65</v>
          </cell>
          <cell r="AE43">
            <v>71</v>
          </cell>
          <cell r="AF43">
            <v>41.900000000000006</v>
          </cell>
          <cell r="AG43">
            <v>88.235294117647058</v>
          </cell>
          <cell r="AH43">
            <v>75.650000000000006</v>
          </cell>
          <cell r="AI43">
            <v>71.950000000000017</v>
          </cell>
          <cell r="AJ43">
            <v>65.050000000000011</v>
          </cell>
          <cell r="AK43">
            <v>57.300000000000011</v>
          </cell>
          <cell r="AL43">
            <v>3.8999999999999995</v>
          </cell>
          <cell r="AM43">
            <v>33.4</v>
          </cell>
          <cell r="AN43">
            <v>50.15</v>
          </cell>
          <cell r="AO43">
            <v>83.550000000000011</v>
          </cell>
          <cell r="AP43">
            <v>3.8999999999999995</v>
          </cell>
          <cell r="AQ43">
            <v>3.8999999999999995</v>
          </cell>
          <cell r="AR43">
            <v>3.8999999999999995</v>
          </cell>
          <cell r="AS43">
            <v>3.8999999999999995</v>
          </cell>
          <cell r="AT43">
            <v>3.8999999999999995</v>
          </cell>
          <cell r="AU43">
            <v>3.8999999999999995</v>
          </cell>
          <cell r="AV43">
            <v>83.550000000000011</v>
          </cell>
          <cell r="AW43">
            <v>0.19600000000000001</v>
          </cell>
          <cell r="AX43">
            <v>0.19600000000000001</v>
          </cell>
          <cell r="AY43">
            <v>0.19600000000000001</v>
          </cell>
          <cell r="AZ43">
            <v>0.19600000000000001</v>
          </cell>
          <cell r="BA43">
            <v>0.19600000000000001</v>
          </cell>
          <cell r="BB43">
            <v>19.863750562144144</v>
          </cell>
          <cell r="BC43">
            <v>17.480100494686845</v>
          </cell>
          <cell r="BD43">
            <v>1.4158409953928535</v>
          </cell>
          <cell r="BE43">
            <v>1.05</v>
          </cell>
          <cell r="BF43">
            <v>1.6500000000000001</v>
          </cell>
          <cell r="BG43">
            <v>1.25</v>
          </cell>
          <cell r="BH43">
            <v>2.0499999999999998</v>
          </cell>
          <cell r="BI43">
            <v>1.85</v>
          </cell>
          <cell r="BJ43">
            <v>75.199999999999989</v>
          </cell>
          <cell r="BK43">
            <v>62.65</v>
          </cell>
          <cell r="BL43">
            <v>50.15</v>
          </cell>
          <cell r="BM43">
            <v>4</v>
          </cell>
          <cell r="BN43">
            <v>0.28316819907857066</v>
          </cell>
          <cell r="BO43">
            <v>50</v>
          </cell>
          <cell r="BP43">
            <v>66</v>
          </cell>
          <cell r="BQ43">
            <v>70</v>
          </cell>
          <cell r="BR43">
            <v>72.5</v>
          </cell>
          <cell r="BS43">
            <v>73</v>
          </cell>
          <cell r="BT43">
            <v>70</v>
          </cell>
          <cell r="BU43">
            <v>69</v>
          </cell>
          <cell r="BV43">
            <v>70</v>
          </cell>
          <cell r="BW43">
            <v>76</v>
          </cell>
          <cell r="BX43">
            <v>74</v>
          </cell>
          <cell r="BY43">
            <v>67</v>
          </cell>
          <cell r="BZ43">
            <v>76.400000000000006</v>
          </cell>
          <cell r="CA43">
            <v>73.5</v>
          </cell>
          <cell r="CB43">
            <v>68.5</v>
          </cell>
          <cell r="CC43">
            <v>74.5</v>
          </cell>
          <cell r="CD43">
            <v>73</v>
          </cell>
          <cell r="CE43">
            <v>3.8999999999999995</v>
          </cell>
          <cell r="CF43">
            <v>3.8999999999999995</v>
          </cell>
          <cell r="CG43">
            <v>3.9999999999999996</v>
          </cell>
          <cell r="CH43">
            <v>3.9999999999999996</v>
          </cell>
          <cell r="CI43">
            <v>3.8499999999999996</v>
          </cell>
          <cell r="CJ43">
            <v>6.1</v>
          </cell>
          <cell r="CK43">
            <v>5.8</v>
          </cell>
          <cell r="CL43">
            <v>3.0999999999999996</v>
          </cell>
          <cell r="CM43">
            <v>9.6</v>
          </cell>
          <cell r="CN43">
            <v>3.95</v>
          </cell>
          <cell r="CO43">
            <v>1.5</v>
          </cell>
          <cell r="CP43">
            <v>220</v>
          </cell>
        </row>
        <row r="44">
          <cell r="A44">
            <v>41</v>
          </cell>
          <cell r="B44">
            <v>2057</v>
          </cell>
          <cell r="C44">
            <v>0.85</v>
          </cell>
          <cell r="D44">
            <v>1.05</v>
          </cell>
          <cell r="E44">
            <v>1.25</v>
          </cell>
          <cell r="F44">
            <v>0</v>
          </cell>
          <cell r="G44">
            <v>75</v>
          </cell>
          <cell r="H44">
            <v>88.235294117647058</v>
          </cell>
          <cell r="I44">
            <v>4.0999999999999996</v>
          </cell>
          <cell r="J44">
            <v>4.8</v>
          </cell>
          <cell r="K44">
            <v>83.550000000000011</v>
          </cell>
          <cell r="L44">
            <v>79.550000000000011</v>
          </cell>
          <cell r="M44">
            <v>70.050000000000011</v>
          </cell>
          <cell r="N44">
            <v>67.550000000000011</v>
          </cell>
          <cell r="O44">
            <v>63.550000000000011</v>
          </cell>
          <cell r="P44">
            <v>82.050000000000011</v>
          </cell>
          <cell r="Q44">
            <v>89.550000000000011</v>
          </cell>
          <cell r="R44">
            <v>69.55</v>
          </cell>
          <cell r="S44">
            <v>4.0999999999999996</v>
          </cell>
          <cell r="T44">
            <v>3.8999999999999995</v>
          </cell>
          <cell r="U44">
            <v>3.5999999999999996</v>
          </cell>
          <cell r="V44">
            <v>5.05</v>
          </cell>
          <cell r="W44">
            <v>11.5</v>
          </cell>
          <cell r="X44">
            <v>33.4</v>
          </cell>
          <cell r="Y44">
            <v>50.15</v>
          </cell>
          <cell r="Z44">
            <v>83.550000000000011</v>
          </cell>
          <cell r="AA44">
            <v>49.3</v>
          </cell>
          <cell r="AB44">
            <v>9.8000000000000007</v>
          </cell>
          <cell r="AC44">
            <v>28.4</v>
          </cell>
          <cell r="AD44">
            <v>42.65</v>
          </cell>
          <cell r="AE44">
            <v>71</v>
          </cell>
          <cell r="AF44">
            <v>41.900000000000006</v>
          </cell>
          <cell r="AG44">
            <v>88.235294117647058</v>
          </cell>
          <cell r="AH44">
            <v>75.650000000000006</v>
          </cell>
          <cell r="AI44">
            <v>71.950000000000017</v>
          </cell>
          <cell r="AJ44">
            <v>65.050000000000011</v>
          </cell>
          <cell r="AK44">
            <v>57.300000000000011</v>
          </cell>
          <cell r="AL44">
            <v>3.8999999999999995</v>
          </cell>
          <cell r="AM44">
            <v>33.4</v>
          </cell>
          <cell r="AN44">
            <v>50.15</v>
          </cell>
          <cell r="AO44">
            <v>83.550000000000011</v>
          </cell>
          <cell r="AP44">
            <v>3.8999999999999995</v>
          </cell>
          <cell r="AQ44">
            <v>3.8999999999999995</v>
          </cell>
          <cell r="AR44">
            <v>3.8999999999999995</v>
          </cell>
          <cell r="AS44">
            <v>3.8999999999999995</v>
          </cell>
          <cell r="AT44">
            <v>3.8999999999999995</v>
          </cell>
          <cell r="AU44">
            <v>3.8999999999999995</v>
          </cell>
          <cell r="AV44">
            <v>83.550000000000011</v>
          </cell>
          <cell r="AW44">
            <v>0.19600000000000001</v>
          </cell>
          <cell r="AX44">
            <v>0.19600000000000001</v>
          </cell>
          <cell r="AY44">
            <v>0.19600000000000001</v>
          </cell>
          <cell r="AZ44">
            <v>0.19600000000000001</v>
          </cell>
          <cell r="BA44">
            <v>0.19600000000000001</v>
          </cell>
          <cell r="BB44">
            <v>19.863750562144144</v>
          </cell>
          <cell r="BC44">
            <v>17.480100494686845</v>
          </cell>
          <cell r="BD44">
            <v>1.4158409953928535</v>
          </cell>
          <cell r="BE44">
            <v>1.05</v>
          </cell>
          <cell r="BF44">
            <v>1.6500000000000001</v>
          </cell>
          <cell r="BG44">
            <v>1.25</v>
          </cell>
          <cell r="BH44">
            <v>2.0499999999999998</v>
          </cell>
          <cell r="BI44">
            <v>1.85</v>
          </cell>
          <cell r="BJ44">
            <v>75.199999999999989</v>
          </cell>
          <cell r="BK44">
            <v>62.65</v>
          </cell>
          <cell r="BL44">
            <v>50.15</v>
          </cell>
          <cell r="BM44">
            <v>4</v>
          </cell>
          <cell r="BN44">
            <v>0.28316819907857066</v>
          </cell>
          <cell r="BO44">
            <v>50</v>
          </cell>
          <cell r="BP44">
            <v>66</v>
          </cell>
          <cell r="BQ44">
            <v>70</v>
          </cell>
          <cell r="BR44">
            <v>72.5</v>
          </cell>
          <cell r="BS44">
            <v>73</v>
          </cell>
          <cell r="BT44">
            <v>70</v>
          </cell>
          <cell r="BU44">
            <v>69</v>
          </cell>
          <cell r="BV44">
            <v>70</v>
          </cell>
          <cell r="BW44">
            <v>76</v>
          </cell>
          <cell r="BX44">
            <v>74</v>
          </cell>
          <cell r="BY44">
            <v>67</v>
          </cell>
          <cell r="BZ44">
            <v>76.400000000000006</v>
          </cell>
          <cell r="CA44">
            <v>73.5</v>
          </cell>
          <cell r="CB44">
            <v>68.5</v>
          </cell>
          <cell r="CC44">
            <v>74.5</v>
          </cell>
          <cell r="CD44">
            <v>73</v>
          </cell>
          <cell r="CE44">
            <v>3.8999999999999995</v>
          </cell>
          <cell r="CF44">
            <v>3.8999999999999995</v>
          </cell>
          <cell r="CG44">
            <v>3.9999999999999996</v>
          </cell>
          <cell r="CH44">
            <v>3.9999999999999996</v>
          </cell>
          <cell r="CI44">
            <v>3.8499999999999996</v>
          </cell>
          <cell r="CJ44">
            <v>6.1</v>
          </cell>
          <cell r="CK44">
            <v>5.8</v>
          </cell>
          <cell r="CL44">
            <v>3.0999999999999996</v>
          </cell>
          <cell r="CM44">
            <v>9.6</v>
          </cell>
          <cell r="CN44">
            <v>3.95</v>
          </cell>
          <cell r="CO44">
            <v>1.5</v>
          </cell>
          <cell r="CP44">
            <v>220</v>
          </cell>
        </row>
        <row r="45">
          <cell r="A45">
            <v>42</v>
          </cell>
          <cell r="B45">
            <v>2058</v>
          </cell>
          <cell r="C45">
            <v>0.85</v>
          </cell>
          <cell r="D45">
            <v>1.05</v>
          </cell>
          <cell r="E45">
            <v>1.25</v>
          </cell>
          <cell r="F45">
            <v>0</v>
          </cell>
          <cell r="G45">
            <v>75</v>
          </cell>
          <cell r="H45">
            <v>88.235294117647058</v>
          </cell>
          <cell r="I45">
            <v>4.0999999999999996</v>
          </cell>
          <cell r="J45">
            <v>4.8</v>
          </cell>
          <cell r="K45">
            <v>83.550000000000011</v>
          </cell>
          <cell r="L45">
            <v>79.550000000000011</v>
          </cell>
          <cell r="M45">
            <v>70.050000000000011</v>
          </cell>
          <cell r="N45">
            <v>67.550000000000011</v>
          </cell>
          <cell r="O45">
            <v>63.550000000000011</v>
          </cell>
          <cell r="P45">
            <v>82.050000000000011</v>
          </cell>
          <cell r="Q45">
            <v>89.550000000000011</v>
          </cell>
          <cell r="R45">
            <v>69.55</v>
          </cell>
          <cell r="S45">
            <v>4.0999999999999996</v>
          </cell>
          <cell r="T45">
            <v>3.8999999999999995</v>
          </cell>
          <cell r="U45">
            <v>3.5999999999999996</v>
          </cell>
          <cell r="V45">
            <v>5.05</v>
          </cell>
          <cell r="W45">
            <v>11.5</v>
          </cell>
          <cell r="X45">
            <v>33.4</v>
          </cell>
          <cell r="Y45">
            <v>50.15</v>
          </cell>
          <cell r="Z45">
            <v>83.550000000000011</v>
          </cell>
          <cell r="AA45">
            <v>49.3</v>
          </cell>
          <cell r="AB45">
            <v>9.8000000000000007</v>
          </cell>
          <cell r="AC45">
            <v>28.4</v>
          </cell>
          <cell r="AD45">
            <v>42.65</v>
          </cell>
          <cell r="AE45">
            <v>71</v>
          </cell>
          <cell r="AF45">
            <v>41.900000000000006</v>
          </cell>
          <cell r="AG45">
            <v>88.235294117647058</v>
          </cell>
          <cell r="AH45">
            <v>75.650000000000006</v>
          </cell>
          <cell r="AI45">
            <v>71.950000000000017</v>
          </cell>
          <cell r="AJ45">
            <v>65.050000000000011</v>
          </cell>
          <cell r="AK45">
            <v>57.300000000000011</v>
          </cell>
          <cell r="AL45">
            <v>3.8999999999999995</v>
          </cell>
          <cell r="AM45">
            <v>33.4</v>
          </cell>
          <cell r="AN45">
            <v>50.15</v>
          </cell>
          <cell r="AO45">
            <v>83.550000000000011</v>
          </cell>
          <cell r="AP45">
            <v>3.8999999999999995</v>
          </cell>
          <cell r="AQ45">
            <v>3.8999999999999995</v>
          </cell>
          <cell r="AR45">
            <v>3.8999999999999995</v>
          </cell>
          <cell r="AS45">
            <v>3.8999999999999995</v>
          </cell>
          <cell r="AT45">
            <v>3.8999999999999995</v>
          </cell>
          <cell r="AU45">
            <v>3.8999999999999995</v>
          </cell>
          <cell r="AV45">
            <v>83.550000000000011</v>
          </cell>
          <cell r="AW45">
            <v>0.19600000000000001</v>
          </cell>
          <cell r="AX45">
            <v>0.19600000000000001</v>
          </cell>
          <cell r="AY45">
            <v>0.19600000000000001</v>
          </cell>
          <cell r="AZ45">
            <v>0.19600000000000001</v>
          </cell>
          <cell r="BA45">
            <v>0.19600000000000001</v>
          </cell>
          <cell r="BB45">
            <v>19.863750562144144</v>
          </cell>
          <cell r="BC45">
            <v>17.480100494686845</v>
          </cell>
          <cell r="BD45">
            <v>1.4158409953928535</v>
          </cell>
          <cell r="BE45">
            <v>1.05</v>
          </cell>
          <cell r="BF45">
            <v>1.6500000000000001</v>
          </cell>
          <cell r="BG45">
            <v>1.25</v>
          </cell>
          <cell r="BH45">
            <v>2.0499999999999998</v>
          </cell>
          <cell r="BI45">
            <v>1.85</v>
          </cell>
          <cell r="BJ45">
            <v>75.199999999999989</v>
          </cell>
          <cell r="BK45">
            <v>62.65</v>
          </cell>
          <cell r="BL45">
            <v>50.15</v>
          </cell>
          <cell r="BM45">
            <v>4</v>
          </cell>
          <cell r="BN45">
            <v>0.28316819907857066</v>
          </cell>
          <cell r="BO45">
            <v>50</v>
          </cell>
          <cell r="BP45">
            <v>66</v>
          </cell>
          <cell r="BQ45">
            <v>70</v>
          </cell>
          <cell r="BR45">
            <v>72.5</v>
          </cell>
          <cell r="BS45">
            <v>73</v>
          </cell>
          <cell r="BT45">
            <v>70</v>
          </cell>
          <cell r="BU45">
            <v>69</v>
          </cell>
          <cell r="BV45">
            <v>70</v>
          </cell>
          <cell r="BW45">
            <v>76</v>
          </cell>
          <cell r="BX45">
            <v>74</v>
          </cell>
          <cell r="BY45">
            <v>67</v>
          </cell>
          <cell r="BZ45">
            <v>76.400000000000006</v>
          </cell>
          <cell r="CA45">
            <v>73.5</v>
          </cell>
          <cell r="CB45">
            <v>68.5</v>
          </cell>
          <cell r="CC45">
            <v>74.5</v>
          </cell>
          <cell r="CD45">
            <v>73</v>
          </cell>
          <cell r="CE45">
            <v>3.8999999999999995</v>
          </cell>
          <cell r="CF45">
            <v>3.8999999999999995</v>
          </cell>
          <cell r="CG45">
            <v>3.9999999999999996</v>
          </cell>
          <cell r="CH45">
            <v>3.9999999999999996</v>
          </cell>
          <cell r="CI45">
            <v>3.8499999999999996</v>
          </cell>
          <cell r="CJ45">
            <v>6.1</v>
          </cell>
          <cell r="CK45">
            <v>5.8</v>
          </cell>
          <cell r="CL45">
            <v>3.0999999999999996</v>
          </cell>
          <cell r="CM45">
            <v>9.6</v>
          </cell>
          <cell r="CN45">
            <v>3.95</v>
          </cell>
          <cell r="CO45">
            <v>1.5</v>
          </cell>
          <cell r="CP45">
            <v>220</v>
          </cell>
        </row>
        <row r="46">
          <cell r="A46">
            <v>43</v>
          </cell>
          <cell r="B46">
            <v>2059</v>
          </cell>
          <cell r="C46">
            <v>0.85</v>
          </cell>
          <cell r="D46">
            <v>1.05</v>
          </cell>
          <cell r="E46">
            <v>1.25</v>
          </cell>
          <cell r="F46">
            <v>0</v>
          </cell>
          <cell r="G46">
            <v>75</v>
          </cell>
          <cell r="H46">
            <v>88.235294117647058</v>
          </cell>
          <cell r="I46">
            <v>4.0999999999999996</v>
          </cell>
          <cell r="J46">
            <v>4.8</v>
          </cell>
          <cell r="K46">
            <v>83.550000000000011</v>
          </cell>
          <cell r="L46">
            <v>79.550000000000011</v>
          </cell>
          <cell r="M46">
            <v>70.050000000000011</v>
          </cell>
          <cell r="N46">
            <v>67.550000000000011</v>
          </cell>
          <cell r="O46">
            <v>63.550000000000011</v>
          </cell>
          <cell r="P46">
            <v>82.050000000000011</v>
          </cell>
          <cell r="Q46">
            <v>89.550000000000011</v>
          </cell>
          <cell r="R46">
            <v>69.55</v>
          </cell>
          <cell r="S46">
            <v>4.0999999999999996</v>
          </cell>
          <cell r="T46">
            <v>3.8999999999999995</v>
          </cell>
          <cell r="U46">
            <v>3.5999999999999996</v>
          </cell>
          <cell r="V46">
            <v>5.05</v>
          </cell>
          <cell r="W46">
            <v>11.5</v>
          </cell>
          <cell r="X46">
            <v>33.4</v>
          </cell>
          <cell r="Y46">
            <v>50.15</v>
          </cell>
          <cell r="Z46">
            <v>83.550000000000011</v>
          </cell>
          <cell r="AA46">
            <v>49.3</v>
          </cell>
          <cell r="AB46">
            <v>9.8000000000000007</v>
          </cell>
          <cell r="AC46">
            <v>28.4</v>
          </cell>
          <cell r="AD46">
            <v>42.65</v>
          </cell>
          <cell r="AE46">
            <v>71</v>
          </cell>
          <cell r="AF46">
            <v>41.900000000000006</v>
          </cell>
          <cell r="AG46">
            <v>88.235294117647058</v>
          </cell>
          <cell r="AH46">
            <v>75.650000000000006</v>
          </cell>
          <cell r="AI46">
            <v>71.950000000000017</v>
          </cell>
          <cell r="AJ46">
            <v>65.050000000000011</v>
          </cell>
          <cell r="AK46">
            <v>57.300000000000011</v>
          </cell>
          <cell r="AL46">
            <v>3.8999999999999995</v>
          </cell>
          <cell r="AM46">
            <v>33.4</v>
          </cell>
          <cell r="AN46">
            <v>50.15</v>
          </cell>
          <cell r="AO46">
            <v>83.550000000000011</v>
          </cell>
          <cell r="AP46">
            <v>3.8999999999999995</v>
          </cell>
          <cell r="AQ46">
            <v>3.8999999999999995</v>
          </cell>
          <cell r="AR46">
            <v>3.8999999999999995</v>
          </cell>
          <cell r="AS46">
            <v>3.8999999999999995</v>
          </cell>
          <cell r="AT46">
            <v>3.8999999999999995</v>
          </cell>
          <cell r="AU46">
            <v>3.8999999999999995</v>
          </cell>
          <cell r="AV46">
            <v>83.550000000000011</v>
          </cell>
          <cell r="AW46">
            <v>0.19600000000000001</v>
          </cell>
          <cell r="AX46">
            <v>0.19600000000000001</v>
          </cell>
          <cell r="AY46">
            <v>0.19600000000000001</v>
          </cell>
          <cell r="AZ46">
            <v>0.19600000000000001</v>
          </cell>
          <cell r="BA46">
            <v>0.19600000000000001</v>
          </cell>
          <cell r="BB46">
            <v>19.863750562144144</v>
          </cell>
          <cell r="BC46">
            <v>17.480100494686845</v>
          </cell>
          <cell r="BD46">
            <v>1.4158409953928535</v>
          </cell>
          <cell r="BE46">
            <v>1.05</v>
          </cell>
          <cell r="BF46">
            <v>1.6500000000000001</v>
          </cell>
          <cell r="BG46">
            <v>1.25</v>
          </cell>
          <cell r="BH46">
            <v>2.0499999999999998</v>
          </cell>
          <cell r="BI46">
            <v>1.85</v>
          </cell>
          <cell r="BJ46">
            <v>75.199999999999989</v>
          </cell>
          <cell r="BK46">
            <v>62.65</v>
          </cell>
          <cell r="BL46">
            <v>50.15</v>
          </cell>
          <cell r="BM46">
            <v>4</v>
          </cell>
          <cell r="BN46">
            <v>0.28316819907857066</v>
          </cell>
          <cell r="BO46">
            <v>50</v>
          </cell>
          <cell r="BP46">
            <v>66</v>
          </cell>
          <cell r="BQ46">
            <v>70</v>
          </cell>
          <cell r="BR46">
            <v>72.5</v>
          </cell>
          <cell r="BS46">
            <v>73</v>
          </cell>
          <cell r="BT46">
            <v>70</v>
          </cell>
          <cell r="BU46">
            <v>69</v>
          </cell>
          <cell r="BV46">
            <v>70</v>
          </cell>
          <cell r="BW46">
            <v>76</v>
          </cell>
          <cell r="BX46">
            <v>74</v>
          </cell>
          <cell r="BY46">
            <v>67</v>
          </cell>
          <cell r="BZ46">
            <v>76.400000000000006</v>
          </cell>
          <cell r="CA46">
            <v>73.5</v>
          </cell>
          <cell r="CB46">
            <v>68.5</v>
          </cell>
          <cell r="CC46">
            <v>74.5</v>
          </cell>
          <cell r="CD46">
            <v>73</v>
          </cell>
          <cell r="CE46">
            <v>3.8999999999999995</v>
          </cell>
          <cell r="CF46">
            <v>3.8999999999999995</v>
          </cell>
          <cell r="CG46">
            <v>3.9999999999999996</v>
          </cell>
          <cell r="CH46">
            <v>3.9999999999999996</v>
          </cell>
          <cell r="CI46">
            <v>3.8499999999999996</v>
          </cell>
          <cell r="CJ46">
            <v>6.1</v>
          </cell>
          <cell r="CK46">
            <v>5.8</v>
          </cell>
          <cell r="CL46">
            <v>3.0999999999999996</v>
          </cell>
          <cell r="CM46">
            <v>9.6</v>
          </cell>
          <cell r="CN46">
            <v>3.95</v>
          </cell>
          <cell r="CO46">
            <v>1.5</v>
          </cell>
          <cell r="CP46">
            <v>220</v>
          </cell>
        </row>
        <row r="47">
          <cell r="A47">
            <v>44</v>
          </cell>
          <cell r="B47">
            <v>2060</v>
          </cell>
          <cell r="C47">
            <v>0.85</v>
          </cell>
          <cell r="D47">
            <v>1.05</v>
          </cell>
          <cell r="E47">
            <v>1.25</v>
          </cell>
          <cell r="F47">
            <v>0</v>
          </cell>
          <cell r="G47">
            <v>75</v>
          </cell>
          <cell r="H47">
            <v>88.235294117647058</v>
          </cell>
          <cell r="I47">
            <v>4.0999999999999996</v>
          </cell>
          <cell r="J47">
            <v>4.8</v>
          </cell>
          <cell r="K47">
            <v>83.550000000000011</v>
          </cell>
          <cell r="L47">
            <v>79.550000000000011</v>
          </cell>
          <cell r="M47">
            <v>70.050000000000011</v>
          </cell>
          <cell r="N47">
            <v>67.550000000000011</v>
          </cell>
          <cell r="O47">
            <v>63.550000000000011</v>
          </cell>
          <cell r="P47">
            <v>82.050000000000011</v>
          </cell>
          <cell r="Q47">
            <v>89.550000000000011</v>
          </cell>
          <cell r="R47">
            <v>69.55</v>
          </cell>
          <cell r="S47">
            <v>4.0999999999999996</v>
          </cell>
          <cell r="T47">
            <v>3.8999999999999995</v>
          </cell>
          <cell r="U47">
            <v>3.5999999999999996</v>
          </cell>
          <cell r="V47">
            <v>5.05</v>
          </cell>
          <cell r="W47">
            <v>11.5</v>
          </cell>
          <cell r="X47">
            <v>33.4</v>
          </cell>
          <cell r="Y47">
            <v>50.15</v>
          </cell>
          <cell r="Z47">
            <v>83.550000000000011</v>
          </cell>
          <cell r="AA47">
            <v>49.3</v>
          </cell>
          <cell r="AB47">
            <v>9.8000000000000007</v>
          </cell>
          <cell r="AC47">
            <v>28.4</v>
          </cell>
          <cell r="AD47">
            <v>42.65</v>
          </cell>
          <cell r="AE47">
            <v>71</v>
          </cell>
          <cell r="AF47">
            <v>41.900000000000006</v>
          </cell>
          <cell r="AG47">
            <v>88.235294117647058</v>
          </cell>
          <cell r="AH47">
            <v>75.650000000000006</v>
          </cell>
          <cell r="AI47">
            <v>71.950000000000017</v>
          </cell>
          <cell r="AJ47">
            <v>65.050000000000011</v>
          </cell>
          <cell r="AK47">
            <v>57.300000000000011</v>
          </cell>
          <cell r="AL47">
            <v>3.8999999999999995</v>
          </cell>
          <cell r="AM47">
            <v>33.4</v>
          </cell>
          <cell r="AN47">
            <v>50.15</v>
          </cell>
          <cell r="AO47">
            <v>83.550000000000011</v>
          </cell>
          <cell r="AP47">
            <v>3.8999999999999995</v>
          </cell>
          <cell r="AQ47">
            <v>3.8999999999999995</v>
          </cell>
          <cell r="AR47">
            <v>3.8999999999999995</v>
          </cell>
          <cell r="AS47">
            <v>3.8999999999999995</v>
          </cell>
          <cell r="AT47">
            <v>3.8999999999999995</v>
          </cell>
          <cell r="AU47">
            <v>3.8999999999999995</v>
          </cell>
          <cell r="AV47">
            <v>83.550000000000011</v>
          </cell>
          <cell r="AW47">
            <v>0.19600000000000001</v>
          </cell>
          <cell r="AX47">
            <v>0.19600000000000001</v>
          </cell>
          <cell r="AY47">
            <v>0.19600000000000001</v>
          </cell>
          <cell r="AZ47">
            <v>0.19600000000000001</v>
          </cell>
          <cell r="BA47">
            <v>0.19600000000000001</v>
          </cell>
          <cell r="BB47">
            <v>19.863750562144144</v>
          </cell>
          <cell r="BC47">
            <v>17.480100494686845</v>
          </cell>
          <cell r="BD47">
            <v>1.4158409953928535</v>
          </cell>
          <cell r="BE47">
            <v>1.05</v>
          </cell>
          <cell r="BF47">
            <v>1.6500000000000001</v>
          </cell>
          <cell r="BG47">
            <v>1.25</v>
          </cell>
          <cell r="BH47">
            <v>2.0499999999999998</v>
          </cell>
          <cell r="BI47">
            <v>1.85</v>
          </cell>
          <cell r="BJ47">
            <v>75.199999999999989</v>
          </cell>
          <cell r="BK47">
            <v>62.65</v>
          </cell>
          <cell r="BL47">
            <v>50.15</v>
          </cell>
          <cell r="BM47">
            <v>4</v>
          </cell>
          <cell r="BN47">
            <v>0.28316819907857066</v>
          </cell>
          <cell r="BO47">
            <v>50</v>
          </cell>
          <cell r="BP47">
            <v>66</v>
          </cell>
          <cell r="BQ47">
            <v>70</v>
          </cell>
          <cell r="BR47">
            <v>72.5</v>
          </cell>
          <cell r="BS47">
            <v>73</v>
          </cell>
          <cell r="BT47">
            <v>70</v>
          </cell>
          <cell r="BU47">
            <v>69</v>
          </cell>
          <cell r="BV47">
            <v>70</v>
          </cell>
          <cell r="BW47">
            <v>76</v>
          </cell>
          <cell r="BX47">
            <v>74</v>
          </cell>
          <cell r="BY47">
            <v>67</v>
          </cell>
          <cell r="BZ47">
            <v>76.400000000000006</v>
          </cell>
          <cell r="CA47">
            <v>73.5</v>
          </cell>
          <cell r="CB47">
            <v>68.5</v>
          </cell>
          <cell r="CC47">
            <v>74.5</v>
          </cell>
          <cell r="CD47">
            <v>73</v>
          </cell>
          <cell r="CE47">
            <v>3.8999999999999995</v>
          </cell>
          <cell r="CF47">
            <v>3.8999999999999995</v>
          </cell>
          <cell r="CG47">
            <v>3.9999999999999996</v>
          </cell>
          <cell r="CH47">
            <v>3.9999999999999996</v>
          </cell>
          <cell r="CI47">
            <v>3.8499999999999996</v>
          </cell>
          <cell r="CJ47">
            <v>6.1</v>
          </cell>
          <cell r="CK47">
            <v>5.8</v>
          </cell>
          <cell r="CL47">
            <v>3.0999999999999996</v>
          </cell>
          <cell r="CM47">
            <v>9.6</v>
          </cell>
          <cell r="CN47">
            <v>3.95</v>
          </cell>
          <cell r="CO47">
            <v>1.5</v>
          </cell>
          <cell r="CP47">
            <v>220</v>
          </cell>
        </row>
        <row r="48">
          <cell r="A48">
            <v>45</v>
          </cell>
          <cell r="B48">
            <v>2061</v>
          </cell>
          <cell r="C48">
            <v>0.85</v>
          </cell>
          <cell r="D48">
            <v>1.05</v>
          </cell>
          <cell r="E48">
            <v>1.25</v>
          </cell>
          <cell r="F48">
            <v>0</v>
          </cell>
          <cell r="G48">
            <v>75</v>
          </cell>
          <cell r="H48">
            <v>88.235294117647058</v>
          </cell>
          <cell r="I48">
            <v>4.0999999999999996</v>
          </cell>
          <cell r="J48">
            <v>4.8</v>
          </cell>
          <cell r="K48">
            <v>83.550000000000011</v>
          </cell>
          <cell r="L48">
            <v>79.550000000000011</v>
          </cell>
          <cell r="M48">
            <v>70.050000000000011</v>
          </cell>
          <cell r="N48">
            <v>67.550000000000011</v>
          </cell>
          <cell r="O48">
            <v>63.550000000000011</v>
          </cell>
          <cell r="P48">
            <v>82.050000000000011</v>
          </cell>
          <cell r="Q48">
            <v>89.550000000000011</v>
          </cell>
          <cell r="R48">
            <v>69.55</v>
          </cell>
          <cell r="S48">
            <v>4.0999999999999996</v>
          </cell>
          <cell r="T48">
            <v>3.8999999999999995</v>
          </cell>
          <cell r="U48">
            <v>3.5999999999999996</v>
          </cell>
          <cell r="V48">
            <v>5.05</v>
          </cell>
          <cell r="W48">
            <v>11.5</v>
          </cell>
          <cell r="X48">
            <v>33.4</v>
          </cell>
          <cell r="Y48">
            <v>50.15</v>
          </cell>
          <cell r="Z48">
            <v>83.550000000000011</v>
          </cell>
          <cell r="AA48">
            <v>49.3</v>
          </cell>
          <cell r="AB48">
            <v>9.8000000000000007</v>
          </cell>
          <cell r="AC48">
            <v>28.4</v>
          </cell>
          <cell r="AD48">
            <v>42.65</v>
          </cell>
          <cell r="AE48">
            <v>71</v>
          </cell>
          <cell r="AF48">
            <v>41.900000000000006</v>
          </cell>
          <cell r="AG48">
            <v>88.235294117647058</v>
          </cell>
          <cell r="AH48">
            <v>75.650000000000006</v>
          </cell>
          <cell r="AI48">
            <v>71.950000000000017</v>
          </cell>
          <cell r="AJ48">
            <v>65.050000000000011</v>
          </cell>
          <cell r="AK48">
            <v>57.300000000000011</v>
          </cell>
          <cell r="AL48">
            <v>3.8999999999999995</v>
          </cell>
          <cell r="AM48">
            <v>33.4</v>
          </cell>
          <cell r="AN48">
            <v>50.15</v>
          </cell>
          <cell r="AO48">
            <v>83.550000000000011</v>
          </cell>
          <cell r="AP48">
            <v>3.8999999999999995</v>
          </cell>
          <cell r="AQ48">
            <v>3.8999999999999995</v>
          </cell>
          <cell r="AR48">
            <v>3.8999999999999995</v>
          </cell>
          <cell r="AS48">
            <v>3.8999999999999995</v>
          </cell>
          <cell r="AT48">
            <v>3.8999999999999995</v>
          </cell>
          <cell r="AU48">
            <v>3.8999999999999995</v>
          </cell>
          <cell r="AV48">
            <v>83.550000000000011</v>
          </cell>
          <cell r="AW48">
            <v>0.19600000000000001</v>
          </cell>
          <cell r="AX48">
            <v>0.19600000000000001</v>
          </cell>
          <cell r="AY48">
            <v>0.19600000000000001</v>
          </cell>
          <cell r="AZ48">
            <v>0.19600000000000001</v>
          </cell>
          <cell r="BA48">
            <v>0.19600000000000001</v>
          </cell>
          <cell r="BB48">
            <v>19.863750562144144</v>
          </cell>
          <cell r="BC48">
            <v>17.480100494686845</v>
          </cell>
          <cell r="BD48">
            <v>1.4158409953928535</v>
          </cell>
          <cell r="BE48">
            <v>1.05</v>
          </cell>
          <cell r="BF48">
            <v>1.6500000000000001</v>
          </cell>
          <cell r="BG48">
            <v>1.25</v>
          </cell>
          <cell r="BH48">
            <v>2.0499999999999998</v>
          </cell>
          <cell r="BI48">
            <v>1.85</v>
          </cell>
          <cell r="BJ48">
            <v>75.199999999999989</v>
          </cell>
          <cell r="BK48">
            <v>62.65</v>
          </cell>
          <cell r="BL48">
            <v>50.15</v>
          </cell>
          <cell r="BM48">
            <v>4</v>
          </cell>
          <cell r="BN48">
            <v>0.28316819907857066</v>
          </cell>
          <cell r="BO48">
            <v>50</v>
          </cell>
          <cell r="BP48">
            <v>66</v>
          </cell>
          <cell r="BQ48">
            <v>70</v>
          </cell>
          <cell r="BR48">
            <v>72.5</v>
          </cell>
          <cell r="BS48">
            <v>73</v>
          </cell>
          <cell r="BT48">
            <v>70</v>
          </cell>
          <cell r="BU48">
            <v>69</v>
          </cell>
          <cell r="BV48">
            <v>70</v>
          </cell>
          <cell r="BW48">
            <v>76</v>
          </cell>
          <cell r="BX48">
            <v>74</v>
          </cell>
          <cell r="BY48">
            <v>67</v>
          </cell>
          <cell r="BZ48">
            <v>76.400000000000006</v>
          </cell>
          <cell r="CA48">
            <v>73.5</v>
          </cell>
          <cell r="CB48">
            <v>68.5</v>
          </cell>
          <cell r="CC48">
            <v>74.5</v>
          </cell>
          <cell r="CD48">
            <v>73</v>
          </cell>
          <cell r="CE48">
            <v>3.8999999999999995</v>
          </cell>
          <cell r="CF48">
            <v>3.8999999999999995</v>
          </cell>
          <cell r="CG48">
            <v>3.9999999999999996</v>
          </cell>
          <cell r="CH48">
            <v>3.9999999999999996</v>
          </cell>
          <cell r="CI48">
            <v>3.8499999999999996</v>
          </cell>
          <cell r="CJ48">
            <v>6.1</v>
          </cell>
          <cell r="CK48">
            <v>5.8</v>
          </cell>
          <cell r="CL48">
            <v>3.0999999999999996</v>
          </cell>
          <cell r="CM48">
            <v>9.6</v>
          </cell>
          <cell r="CN48">
            <v>3.95</v>
          </cell>
          <cell r="CO48">
            <v>1.5</v>
          </cell>
          <cell r="CP48">
            <v>220</v>
          </cell>
        </row>
        <row r="49">
          <cell r="A49">
            <v>46</v>
          </cell>
          <cell r="B49">
            <v>2062</v>
          </cell>
          <cell r="C49">
            <v>0.85</v>
          </cell>
          <cell r="D49">
            <v>1.05</v>
          </cell>
          <cell r="E49">
            <v>1.25</v>
          </cell>
          <cell r="F49">
            <v>0</v>
          </cell>
          <cell r="G49">
            <v>75</v>
          </cell>
          <cell r="H49">
            <v>88.235294117647058</v>
          </cell>
          <cell r="I49">
            <v>4.0999999999999996</v>
          </cell>
          <cell r="J49">
            <v>4.8</v>
          </cell>
          <cell r="K49">
            <v>83.550000000000011</v>
          </cell>
          <cell r="L49">
            <v>79.550000000000011</v>
          </cell>
          <cell r="M49">
            <v>70.050000000000011</v>
          </cell>
          <cell r="N49">
            <v>67.550000000000011</v>
          </cell>
          <cell r="O49">
            <v>63.550000000000011</v>
          </cell>
          <cell r="P49">
            <v>82.050000000000011</v>
          </cell>
          <cell r="Q49">
            <v>89.550000000000011</v>
          </cell>
          <cell r="R49">
            <v>69.55</v>
          </cell>
          <cell r="S49">
            <v>4.0999999999999996</v>
          </cell>
          <cell r="T49">
            <v>3.8999999999999995</v>
          </cell>
          <cell r="U49">
            <v>3.5999999999999996</v>
          </cell>
          <cell r="V49">
            <v>5.05</v>
          </cell>
          <cell r="W49">
            <v>11.5</v>
          </cell>
          <cell r="X49">
            <v>33.4</v>
          </cell>
          <cell r="Y49">
            <v>50.15</v>
          </cell>
          <cell r="Z49">
            <v>83.550000000000011</v>
          </cell>
          <cell r="AA49">
            <v>49.3</v>
          </cell>
          <cell r="AB49">
            <v>9.8000000000000007</v>
          </cell>
          <cell r="AC49">
            <v>28.4</v>
          </cell>
          <cell r="AD49">
            <v>42.65</v>
          </cell>
          <cell r="AE49">
            <v>71</v>
          </cell>
          <cell r="AF49">
            <v>41.900000000000006</v>
          </cell>
          <cell r="AG49">
            <v>88.235294117647058</v>
          </cell>
          <cell r="AH49">
            <v>75.650000000000006</v>
          </cell>
          <cell r="AI49">
            <v>71.950000000000017</v>
          </cell>
          <cell r="AJ49">
            <v>65.050000000000011</v>
          </cell>
          <cell r="AK49">
            <v>57.300000000000011</v>
          </cell>
          <cell r="AL49">
            <v>3.8999999999999995</v>
          </cell>
          <cell r="AM49">
            <v>33.4</v>
          </cell>
          <cell r="AN49">
            <v>50.15</v>
          </cell>
          <cell r="AO49">
            <v>83.550000000000011</v>
          </cell>
          <cell r="AP49">
            <v>3.8999999999999995</v>
          </cell>
          <cell r="AQ49">
            <v>3.8999999999999995</v>
          </cell>
          <cell r="AR49">
            <v>3.8999999999999995</v>
          </cell>
          <cell r="AS49">
            <v>3.8999999999999995</v>
          </cell>
          <cell r="AT49">
            <v>3.8999999999999995</v>
          </cell>
          <cell r="AU49">
            <v>3.8999999999999995</v>
          </cell>
          <cell r="AV49">
            <v>83.550000000000011</v>
          </cell>
          <cell r="AW49">
            <v>0.19600000000000001</v>
          </cell>
          <cell r="AX49">
            <v>0.19600000000000001</v>
          </cell>
          <cell r="AY49">
            <v>0.19600000000000001</v>
          </cell>
          <cell r="AZ49">
            <v>0.19600000000000001</v>
          </cell>
          <cell r="BA49">
            <v>0.19600000000000001</v>
          </cell>
          <cell r="BB49">
            <v>19.863750562144144</v>
          </cell>
          <cell r="BC49">
            <v>17.480100494686845</v>
          </cell>
          <cell r="BD49">
            <v>1.4158409953928535</v>
          </cell>
          <cell r="BE49">
            <v>1.05</v>
          </cell>
          <cell r="BF49">
            <v>1.6500000000000001</v>
          </cell>
          <cell r="BG49">
            <v>1.25</v>
          </cell>
          <cell r="BH49">
            <v>2.0499999999999998</v>
          </cell>
          <cell r="BI49">
            <v>1.85</v>
          </cell>
          <cell r="BJ49">
            <v>75.199999999999989</v>
          </cell>
          <cell r="BK49">
            <v>62.65</v>
          </cell>
          <cell r="BL49">
            <v>50.15</v>
          </cell>
          <cell r="BM49">
            <v>4</v>
          </cell>
          <cell r="BN49">
            <v>0.28316819907857066</v>
          </cell>
          <cell r="BO49">
            <v>50</v>
          </cell>
          <cell r="BP49">
            <v>66</v>
          </cell>
          <cell r="BQ49">
            <v>70</v>
          </cell>
          <cell r="BR49">
            <v>72.5</v>
          </cell>
          <cell r="BS49">
            <v>73</v>
          </cell>
          <cell r="BT49">
            <v>70</v>
          </cell>
          <cell r="BU49">
            <v>69</v>
          </cell>
          <cell r="BV49">
            <v>70</v>
          </cell>
          <cell r="BW49">
            <v>76</v>
          </cell>
          <cell r="BX49">
            <v>74</v>
          </cell>
          <cell r="BY49">
            <v>67</v>
          </cell>
          <cell r="BZ49">
            <v>76.400000000000006</v>
          </cell>
          <cell r="CA49">
            <v>73.5</v>
          </cell>
          <cell r="CB49">
            <v>68.5</v>
          </cell>
          <cell r="CC49">
            <v>74.5</v>
          </cell>
          <cell r="CD49">
            <v>73</v>
          </cell>
          <cell r="CE49">
            <v>3.8999999999999995</v>
          </cell>
          <cell r="CF49">
            <v>3.8999999999999995</v>
          </cell>
          <cell r="CG49">
            <v>3.9999999999999996</v>
          </cell>
          <cell r="CH49">
            <v>3.9999999999999996</v>
          </cell>
          <cell r="CI49">
            <v>3.8499999999999996</v>
          </cell>
          <cell r="CJ49">
            <v>6.1</v>
          </cell>
          <cell r="CK49">
            <v>5.8</v>
          </cell>
          <cell r="CL49">
            <v>3.0999999999999996</v>
          </cell>
          <cell r="CM49">
            <v>9.6</v>
          </cell>
          <cell r="CN49">
            <v>3.95</v>
          </cell>
          <cell r="CO49">
            <v>1.5</v>
          </cell>
          <cell r="CP49">
            <v>220</v>
          </cell>
        </row>
        <row r="50">
          <cell r="A50">
            <v>47</v>
          </cell>
          <cell r="B50">
            <v>2063</v>
          </cell>
          <cell r="C50">
            <v>0.85</v>
          </cell>
          <cell r="D50">
            <v>1.05</v>
          </cell>
          <cell r="E50">
            <v>1.25</v>
          </cell>
          <cell r="F50">
            <v>0</v>
          </cell>
          <cell r="G50">
            <v>75</v>
          </cell>
          <cell r="H50">
            <v>88.235294117647058</v>
          </cell>
          <cell r="I50">
            <v>4.0999999999999996</v>
          </cell>
          <cell r="J50">
            <v>4.8</v>
          </cell>
          <cell r="K50">
            <v>83.550000000000011</v>
          </cell>
          <cell r="L50">
            <v>79.550000000000011</v>
          </cell>
          <cell r="M50">
            <v>70.050000000000011</v>
          </cell>
          <cell r="N50">
            <v>67.550000000000011</v>
          </cell>
          <cell r="O50">
            <v>63.550000000000011</v>
          </cell>
          <cell r="P50">
            <v>82.050000000000011</v>
          </cell>
          <cell r="Q50">
            <v>89.550000000000011</v>
          </cell>
          <cell r="R50">
            <v>69.55</v>
          </cell>
          <cell r="S50">
            <v>4.0999999999999996</v>
          </cell>
          <cell r="T50">
            <v>3.8999999999999995</v>
          </cell>
          <cell r="U50">
            <v>3.5999999999999996</v>
          </cell>
          <cell r="V50">
            <v>5.05</v>
          </cell>
          <cell r="W50">
            <v>11.5</v>
          </cell>
          <cell r="X50">
            <v>33.4</v>
          </cell>
          <cell r="Y50">
            <v>50.15</v>
          </cell>
          <cell r="Z50">
            <v>83.550000000000011</v>
          </cell>
          <cell r="AA50">
            <v>49.3</v>
          </cell>
          <cell r="AB50">
            <v>9.8000000000000007</v>
          </cell>
          <cell r="AC50">
            <v>28.4</v>
          </cell>
          <cell r="AD50">
            <v>42.65</v>
          </cell>
          <cell r="AE50">
            <v>71</v>
          </cell>
          <cell r="AF50">
            <v>41.900000000000006</v>
          </cell>
          <cell r="AG50">
            <v>88.235294117647058</v>
          </cell>
          <cell r="AH50">
            <v>75.650000000000006</v>
          </cell>
          <cell r="AI50">
            <v>71.950000000000017</v>
          </cell>
          <cell r="AJ50">
            <v>65.050000000000011</v>
          </cell>
          <cell r="AK50">
            <v>57.300000000000011</v>
          </cell>
          <cell r="AL50">
            <v>3.8999999999999995</v>
          </cell>
          <cell r="AM50">
            <v>33.4</v>
          </cell>
          <cell r="AN50">
            <v>50.15</v>
          </cell>
          <cell r="AO50">
            <v>83.550000000000011</v>
          </cell>
          <cell r="AP50">
            <v>3.8999999999999995</v>
          </cell>
          <cell r="AQ50">
            <v>3.8999999999999995</v>
          </cell>
          <cell r="AR50">
            <v>3.8999999999999995</v>
          </cell>
          <cell r="AS50">
            <v>3.8999999999999995</v>
          </cell>
          <cell r="AT50">
            <v>3.8999999999999995</v>
          </cell>
          <cell r="AU50">
            <v>3.8999999999999995</v>
          </cell>
          <cell r="AV50">
            <v>83.550000000000011</v>
          </cell>
          <cell r="AW50">
            <v>0.19600000000000001</v>
          </cell>
          <cell r="AX50">
            <v>0.19600000000000001</v>
          </cell>
          <cell r="AY50">
            <v>0.19600000000000001</v>
          </cell>
          <cell r="AZ50">
            <v>0.19600000000000001</v>
          </cell>
          <cell r="BA50">
            <v>0.19600000000000001</v>
          </cell>
          <cell r="BB50">
            <v>19.863750562144144</v>
          </cell>
          <cell r="BC50">
            <v>17.480100494686845</v>
          </cell>
          <cell r="BD50">
            <v>1.4158409953928535</v>
          </cell>
          <cell r="BE50">
            <v>1.05</v>
          </cell>
          <cell r="BF50">
            <v>1.6500000000000001</v>
          </cell>
          <cell r="BG50">
            <v>1.25</v>
          </cell>
          <cell r="BH50">
            <v>2.0499999999999998</v>
          </cell>
          <cell r="BI50">
            <v>1.85</v>
          </cell>
          <cell r="BJ50">
            <v>75.199999999999989</v>
          </cell>
          <cell r="BK50">
            <v>62.65</v>
          </cell>
          <cell r="BL50">
            <v>50.15</v>
          </cell>
          <cell r="BM50">
            <v>4</v>
          </cell>
          <cell r="BN50">
            <v>0.28316819907857066</v>
          </cell>
          <cell r="BO50">
            <v>50</v>
          </cell>
          <cell r="BP50">
            <v>66</v>
          </cell>
          <cell r="BQ50">
            <v>70</v>
          </cell>
          <cell r="BR50">
            <v>72.5</v>
          </cell>
          <cell r="BS50">
            <v>73</v>
          </cell>
          <cell r="BT50">
            <v>70</v>
          </cell>
          <cell r="BU50">
            <v>69</v>
          </cell>
          <cell r="BV50">
            <v>70</v>
          </cell>
          <cell r="BW50">
            <v>76</v>
          </cell>
          <cell r="BX50">
            <v>74</v>
          </cell>
          <cell r="BY50">
            <v>67</v>
          </cell>
          <cell r="BZ50">
            <v>76.400000000000006</v>
          </cell>
          <cell r="CA50">
            <v>73.5</v>
          </cell>
          <cell r="CB50">
            <v>68.5</v>
          </cell>
          <cell r="CC50">
            <v>74.5</v>
          </cell>
          <cell r="CD50">
            <v>73</v>
          </cell>
          <cell r="CE50">
            <v>3.8999999999999995</v>
          </cell>
          <cell r="CF50">
            <v>3.8999999999999995</v>
          </cell>
          <cell r="CG50">
            <v>3.9999999999999996</v>
          </cell>
          <cell r="CH50">
            <v>3.9999999999999996</v>
          </cell>
          <cell r="CI50">
            <v>3.8499999999999996</v>
          </cell>
          <cell r="CJ50">
            <v>6.1</v>
          </cell>
          <cell r="CK50">
            <v>5.8</v>
          </cell>
          <cell r="CL50">
            <v>3.0999999999999996</v>
          </cell>
          <cell r="CM50">
            <v>9.6</v>
          </cell>
          <cell r="CN50">
            <v>3.95</v>
          </cell>
          <cell r="CO50">
            <v>1.5</v>
          </cell>
          <cell r="CP50">
            <v>220</v>
          </cell>
        </row>
        <row r="51">
          <cell r="A51">
            <v>48</v>
          </cell>
          <cell r="B51">
            <v>2064</v>
          </cell>
          <cell r="C51">
            <v>0.85</v>
          </cell>
          <cell r="D51">
            <v>1.05</v>
          </cell>
          <cell r="E51">
            <v>1.25</v>
          </cell>
          <cell r="F51">
            <v>0</v>
          </cell>
          <cell r="G51">
            <v>75</v>
          </cell>
          <cell r="H51">
            <v>88.235294117647058</v>
          </cell>
          <cell r="I51">
            <v>4.0999999999999996</v>
          </cell>
          <cell r="J51">
            <v>4.8</v>
          </cell>
          <cell r="K51">
            <v>83.550000000000011</v>
          </cell>
          <cell r="L51">
            <v>79.550000000000011</v>
          </cell>
          <cell r="M51">
            <v>70.050000000000011</v>
          </cell>
          <cell r="N51">
            <v>67.550000000000011</v>
          </cell>
          <cell r="O51">
            <v>63.550000000000011</v>
          </cell>
          <cell r="P51">
            <v>82.050000000000011</v>
          </cell>
          <cell r="Q51">
            <v>89.550000000000011</v>
          </cell>
          <cell r="R51">
            <v>69.55</v>
          </cell>
          <cell r="S51">
            <v>4.0999999999999996</v>
          </cell>
          <cell r="T51">
            <v>3.8999999999999995</v>
          </cell>
          <cell r="U51">
            <v>3.5999999999999996</v>
          </cell>
          <cell r="V51">
            <v>5.05</v>
          </cell>
          <cell r="W51">
            <v>11.5</v>
          </cell>
          <cell r="X51">
            <v>33.4</v>
          </cell>
          <cell r="Y51">
            <v>50.15</v>
          </cell>
          <cell r="Z51">
            <v>83.550000000000011</v>
          </cell>
          <cell r="AA51">
            <v>49.3</v>
          </cell>
          <cell r="AB51">
            <v>9.8000000000000007</v>
          </cell>
          <cell r="AC51">
            <v>28.4</v>
          </cell>
          <cell r="AD51">
            <v>42.65</v>
          </cell>
          <cell r="AE51">
            <v>71</v>
          </cell>
          <cell r="AF51">
            <v>41.900000000000006</v>
          </cell>
          <cell r="AG51">
            <v>88.235294117647058</v>
          </cell>
          <cell r="AH51">
            <v>75.650000000000006</v>
          </cell>
          <cell r="AI51">
            <v>71.950000000000017</v>
          </cell>
          <cell r="AJ51">
            <v>65.050000000000011</v>
          </cell>
          <cell r="AK51">
            <v>57.300000000000011</v>
          </cell>
          <cell r="AL51">
            <v>3.8999999999999995</v>
          </cell>
          <cell r="AM51">
            <v>33.4</v>
          </cell>
          <cell r="AN51">
            <v>50.15</v>
          </cell>
          <cell r="AO51">
            <v>83.550000000000011</v>
          </cell>
          <cell r="AP51">
            <v>3.8999999999999995</v>
          </cell>
          <cell r="AQ51">
            <v>3.8999999999999995</v>
          </cell>
          <cell r="AR51">
            <v>3.8999999999999995</v>
          </cell>
          <cell r="AS51">
            <v>3.8999999999999995</v>
          </cell>
          <cell r="AT51">
            <v>3.8999999999999995</v>
          </cell>
          <cell r="AU51">
            <v>3.8999999999999995</v>
          </cell>
          <cell r="AV51">
            <v>83.550000000000011</v>
          </cell>
          <cell r="AW51">
            <v>0.19600000000000001</v>
          </cell>
          <cell r="AX51">
            <v>0.19600000000000001</v>
          </cell>
          <cell r="AY51">
            <v>0.19600000000000001</v>
          </cell>
          <cell r="AZ51">
            <v>0.19600000000000001</v>
          </cell>
          <cell r="BA51">
            <v>0.19600000000000001</v>
          </cell>
          <cell r="BB51">
            <v>19.863750562144144</v>
          </cell>
          <cell r="BC51">
            <v>17.480100494686845</v>
          </cell>
          <cell r="BD51">
            <v>1.4158409953928535</v>
          </cell>
          <cell r="BE51">
            <v>1.05</v>
          </cell>
          <cell r="BF51">
            <v>1.6500000000000001</v>
          </cell>
          <cell r="BG51">
            <v>1.25</v>
          </cell>
          <cell r="BH51">
            <v>2.0499999999999998</v>
          </cell>
          <cell r="BI51">
            <v>1.85</v>
          </cell>
          <cell r="BJ51">
            <v>75.199999999999989</v>
          </cell>
          <cell r="BK51">
            <v>62.65</v>
          </cell>
          <cell r="BL51">
            <v>50.15</v>
          </cell>
          <cell r="BM51">
            <v>4</v>
          </cell>
          <cell r="BN51">
            <v>0.28316819907857066</v>
          </cell>
          <cell r="BO51">
            <v>50</v>
          </cell>
          <cell r="BP51">
            <v>66</v>
          </cell>
          <cell r="BQ51">
            <v>70</v>
          </cell>
          <cell r="BR51">
            <v>72.5</v>
          </cell>
          <cell r="BS51">
            <v>73</v>
          </cell>
          <cell r="BT51">
            <v>70</v>
          </cell>
          <cell r="BU51">
            <v>69</v>
          </cell>
          <cell r="BV51">
            <v>70</v>
          </cell>
          <cell r="BW51">
            <v>76</v>
          </cell>
          <cell r="BX51">
            <v>74</v>
          </cell>
          <cell r="BY51">
            <v>67</v>
          </cell>
          <cell r="BZ51">
            <v>76.400000000000006</v>
          </cell>
          <cell r="CA51">
            <v>73.5</v>
          </cell>
          <cell r="CB51">
            <v>68.5</v>
          </cell>
          <cell r="CC51">
            <v>74.5</v>
          </cell>
          <cell r="CD51">
            <v>73</v>
          </cell>
          <cell r="CE51">
            <v>3.8999999999999995</v>
          </cell>
          <cell r="CF51">
            <v>3.8999999999999995</v>
          </cell>
          <cell r="CG51">
            <v>3.9999999999999996</v>
          </cell>
          <cell r="CH51">
            <v>3.9999999999999996</v>
          </cell>
          <cell r="CI51">
            <v>3.8499999999999996</v>
          </cell>
          <cell r="CJ51">
            <v>6.1</v>
          </cell>
          <cell r="CK51">
            <v>5.8</v>
          </cell>
          <cell r="CL51">
            <v>3.0999999999999996</v>
          </cell>
          <cell r="CM51">
            <v>9.6</v>
          </cell>
          <cell r="CN51">
            <v>3.95</v>
          </cell>
          <cell r="CO51">
            <v>1.5</v>
          </cell>
          <cell r="CP51">
            <v>220</v>
          </cell>
        </row>
        <row r="52">
          <cell r="A52">
            <v>49</v>
          </cell>
          <cell r="B52">
            <v>2065</v>
          </cell>
          <cell r="C52">
            <v>0.85</v>
          </cell>
          <cell r="D52">
            <v>1.05</v>
          </cell>
          <cell r="E52">
            <v>1.25</v>
          </cell>
          <cell r="F52">
            <v>0</v>
          </cell>
          <cell r="G52">
            <v>75</v>
          </cell>
          <cell r="H52">
            <v>88.235294117647058</v>
          </cell>
          <cell r="I52">
            <v>4.0999999999999996</v>
          </cell>
          <cell r="J52">
            <v>4.8</v>
          </cell>
          <cell r="K52">
            <v>83.550000000000011</v>
          </cell>
          <cell r="L52">
            <v>79.550000000000011</v>
          </cell>
          <cell r="M52">
            <v>70.050000000000011</v>
          </cell>
          <cell r="N52">
            <v>67.550000000000011</v>
          </cell>
          <cell r="O52">
            <v>63.550000000000011</v>
          </cell>
          <cell r="P52">
            <v>82.050000000000011</v>
          </cell>
          <cell r="Q52">
            <v>89.550000000000011</v>
          </cell>
          <cell r="R52">
            <v>69.55</v>
          </cell>
          <cell r="S52">
            <v>4.0999999999999996</v>
          </cell>
          <cell r="T52">
            <v>3.8999999999999995</v>
          </cell>
          <cell r="U52">
            <v>3.5999999999999996</v>
          </cell>
          <cell r="V52">
            <v>5.05</v>
          </cell>
          <cell r="W52">
            <v>11.5</v>
          </cell>
          <cell r="X52">
            <v>33.4</v>
          </cell>
          <cell r="Y52">
            <v>50.15</v>
          </cell>
          <cell r="Z52">
            <v>83.550000000000011</v>
          </cell>
          <cell r="AA52">
            <v>49.3</v>
          </cell>
          <cell r="AB52">
            <v>9.8000000000000007</v>
          </cell>
          <cell r="AC52">
            <v>28.4</v>
          </cell>
          <cell r="AD52">
            <v>42.65</v>
          </cell>
          <cell r="AE52">
            <v>71</v>
          </cell>
          <cell r="AF52">
            <v>41.900000000000006</v>
          </cell>
          <cell r="AG52">
            <v>88.235294117647058</v>
          </cell>
          <cell r="AH52">
            <v>75.650000000000006</v>
          </cell>
          <cell r="AI52">
            <v>71.950000000000017</v>
          </cell>
          <cell r="AJ52">
            <v>65.050000000000011</v>
          </cell>
          <cell r="AK52">
            <v>57.300000000000011</v>
          </cell>
          <cell r="AL52">
            <v>3.8999999999999995</v>
          </cell>
          <cell r="AM52">
            <v>33.4</v>
          </cell>
          <cell r="AN52">
            <v>50.15</v>
          </cell>
          <cell r="AO52">
            <v>83.550000000000011</v>
          </cell>
          <cell r="AP52">
            <v>3.8999999999999995</v>
          </cell>
          <cell r="AQ52">
            <v>3.8999999999999995</v>
          </cell>
          <cell r="AR52">
            <v>3.8999999999999995</v>
          </cell>
          <cell r="AS52">
            <v>3.8999999999999995</v>
          </cell>
          <cell r="AT52">
            <v>3.8999999999999995</v>
          </cell>
          <cell r="AU52">
            <v>3.8999999999999995</v>
          </cell>
          <cell r="AV52">
            <v>83.550000000000011</v>
          </cell>
          <cell r="AW52">
            <v>0.19600000000000001</v>
          </cell>
          <cell r="AX52">
            <v>0.19600000000000001</v>
          </cell>
          <cell r="AY52">
            <v>0.19600000000000001</v>
          </cell>
          <cell r="AZ52">
            <v>0.19600000000000001</v>
          </cell>
          <cell r="BA52">
            <v>0.19600000000000001</v>
          </cell>
          <cell r="BB52">
            <v>19.863750562144144</v>
          </cell>
          <cell r="BC52">
            <v>17.480100494686845</v>
          </cell>
          <cell r="BD52">
            <v>1.4158409953928535</v>
          </cell>
          <cell r="BE52">
            <v>1.05</v>
          </cell>
          <cell r="BF52">
            <v>1.6500000000000001</v>
          </cell>
          <cell r="BG52">
            <v>1.25</v>
          </cell>
          <cell r="BH52">
            <v>2.0499999999999998</v>
          </cell>
          <cell r="BI52">
            <v>1.85</v>
          </cell>
          <cell r="BJ52">
            <v>75.199999999999989</v>
          </cell>
          <cell r="BK52">
            <v>62.65</v>
          </cell>
          <cell r="BL52">
            <v>50.15</v>
          </cell>
          <cell r="BM52">
            <v>4</v>
          </cell>
          <cell r="BN52">
            <v>0.28316819907857066</v>
          </cell>
          <cell r="BO52">
            <v>50</v>
          </cell>
          <cell r="BP52">
            <v>66</v>
          </cell>
          <cell r="BQ52">
            <v>70</v>
          </cell>
          <cell r="BR52">
            <v>72.5</v>
          </cell>
          <cell r="BS52">
            <v>73</v>
          </cell>
          <cell r="BT52">
            <v>70</v>
          </cell>
          <cell r="BU52">
            <v>69</v>
          </cell>
          <cell r="BV52">
            <v>70</v>
          </cell>
          <cell r="BW52">
            <v>76</v>
          </cell>
          <cell r="BX52">
            <v>74</v>
          </cell>
          <cell r="BY52">
            <v>67</v>
          </cell>
          <cell r="BZ52">
            <v>76.400000000000006</v>
          </cell>
          <cell r="CA52">
            <v>73.5</v>
          </cell>
          <cell r="CB52">
            <v>68.5</v>
          </cell>
          <cell r="CC52">
            <v>74.5</v>
          </cell>
          <cell r="CD52">
            <v>73</v>
          </cell>
          <cell r="CE52">
            <v>3.8999999999999995</v>
          </cell>
          <cell r="CF52">
            <v>3.8999999999999995</v>
          </cell>
          <cell r="CG52">
            <v>3.9999999999999996</v>
          </cell>
          <cell r="CH52">
            <v>3.9999999999999996</v>
          </cell>
          <cell r="CI52">
            <v>3.8499999999999996</v>
          </cell>
          <cell r="CJ52">
            <v>6.1</v>
          </cell>
          <cell r="CK52">
            <v>5.8</v>
          </cell>
          <cell r="CL52">
            <v>3.0999999999999996</v>
          </cell>
          <cell r="CM52">
            <v>9.6</v>
          </cell>
          <cell r="CN52">
            <v>3.95</v>
          </cell>
          <cell r="CO52">
            <v>1.5</v>
          </cell>
          <cell r="CP52">
            <v>220</v>
          </cell>
        </row>
        <row r="53">
          <cell r="A53">
            <v>50</v>
          </cell>
          <cell r="B53">
            <v>2066</v>
          </cell>
          <cell r="C53">
            <v>0.85</v>
          </cell>
          <cell r="D53">
            <v>1.05</v>
          </cell>
          <cell r="E53">
            <v>1.25</v>
          </cell>
          <cell r="F53">
            <v>0</v>
          </cell>
          <cell r="G53">
            <v>75</v>
          </cell>
          <cell r="H53">
            <v>88.235294117647058</v>
          </cell>
          <cell r="I53">
            <v>4.0999999999999996</v>
          </cell>
          <cell r="J53">
            <v>4.8</v>
          </cell>
          <cell r="K53">
            <v>83.550000000000011</v>
          </cell>
          <cell r="L53">
            <v>79.550000000000011</v>
          </cell>
          <cell r="M53">
            <v>70.050000000000011</v>
          </cell>
          <cell r="N53">
            <v>67.550000000000011</v>
          </cell>
          <cell r="O53">
            <v>63.550000000000011</v>
          </cell>
          <cell r="P53">
            <v>82.050000000000011</v>
          </cell>
          <cell r="Q53">
            <v>89.550000000000011</v>
          </cell>
          <cell r="R53">
            <v>69.55</v>
          </cell>
          <cell r="S53">
            <v>4.0999999999999996</v>
          </cell>
          <cell r="T53">
            <v>3.8999999999999995</v>
          </cell>
          <cell r="U53">
            <v>3.5999999999999996</v>
          </cell>
          <cell r="V53">
            <v>5.05</v>
          </cell>
          <cell r="W53">
            <v>11.5</v>
          </cell>
          <cell r="X53">
            <v>33.4</v>
          </cell>
          <cell r="Y53">
            <v>50.15</v>
          </cell>
          <cell r="Z53">
            <v>83.550000000000011</v>
          </cell>
          <cell r="AA53">
            <v>49.3</v>
          </cell>
          <cell r="AB53">
            <v>9.8000000000000007</v>
          </cell>
          <cell r="AC53">
            <v>28.4</v>
          </cell>
          <cell r="AD53">
            <v>42.65</v>
          </cell>
          <cell r="AE53">
            <v>71</v>
          </cell>
          <cell r="AF53">
            <v>41.900000000000006</v>
          </cell>
          <cell r="AG53">
            <v>88.235294117647058</v>
          </cell>
          <cell r="AH53">
            <v>75.650000000000006</v>
          </cell>
          <cell r="AI53">
            <v>71.950000000000017</v>
          </cell>
          <cell r="AJ53">
            <v>65.050000000000011</v>
          </cell>
          <cell r="AK53">
            <v>57.300000000000011</v>
          </cell>
          <cell r="AL53">
            <v>3.8999999999999995</v>
          </cell>
          <cell r="AM53">
            <v>33.4</v>
          </cell>
          <cell r="AN53">
            <v>50.15</v>
          </cell>
          <cell r="AO53">
            <v>83.550000000000011</v>
          </cell>
          <cell r="AP53">
            <v>3.8999999999999995</v>
          </cell>
          <cell r="AQ53">
            <v>3.8999999999999995</v>
          </cell>
          <cell r="AR53">
            <v>3.8999999999999995</v>
          </cell>
          <cell r="AS53">
            <v>3.8999999999999995</v>
          </cell>
          <cell r="AT53">
            <v>3.8999999999999995</v>
          </cell>
          <cell r="AU53">
            <v>3.8999999999999995</v>
          </cell>
          <cell r="AV53">
            <v>83.550000000000011</v>
          </cell>
          <cell r="AW53">
            <v>0.19600000000000001</v>
          </cell>
          <cell r="AX53">
            <v>0.19600000000000001</v>
          </cell>
          <cell r="AY53">
            <v>0.19600000000000001</v>
          </cell>
          <cell r="AZ53">
            <v>0.19600000000000001</v>
          </cell>
          <cell r="BA53">
            <v>0.19600000000000001</v>
          </cell>
          <cell r="BB53">
            <v>19.863750562144144</v>
          </cell>
          <cell r="BC53">
            <v>17.480100494686845</v>
          </cell>
          <cell r="BD53">
            <v>1.4158409953928535</v>
          </cell>
          <cell r="BE53">
            <v>1.05</v>
          </cell>
          <cell r="BF53">
            <v>1.6500000000000001</v>
          </cell>
          <cell r="BG53">
            <v>1.25</v>
          </cell>
          <cell r="BH53">
            <v>2.0499999999999998</v>
          </cell>
          <cell r="BI53">
            <v>1.85</v>
          </cell>
          <cell r="BJ53">
            <v>75.199999999999989</v>
          </cell>
          <cell r="BK53">
            <v>62.65</v>
          </cell>
          <cell r="BL53">
            <v>50.15</v>
          </cell>
          <cell r="BM53">
            <v>4</v>
          </cell>
          <cell r="BN53">
            <v>0.28316819907857066</v>
          </cell>
          <cell r="BO53">
            <v>50</v>
          </cell>
          <cell r="BP53">
            <v>66</v>
          </cell>
          <cell r="BQ53">
            <v>70</v>
          </cell>
          <cell r="BR53">
            <v>72.5</v>
          </cell>
          <cell r="BS53">
            <v>73</v>
          </cell>
          <cell r="BT53">
            <v>70</v>
          </cell>
          <cell r="BU53">
            <v>69</v>
          </cell>
          <cell r="BV53">
            <v>70</v>
          </cell>
          <cell r="BW53">
            <v>76</v>
          </cell>
          <cell r="BX53">
            <v>74</v>
          </cell>
          <cell r="BY53">
            <v>67</v>
          </cell>
          <cell r="BZ53">
            <v>76.400000000000006</v>
          </cell>
          <cell r="CA53">
            <v>73.5</v>
          </cell>
          <cell r="CB53">
            <v>68.5</v>
          </cell>
          <cell r="CC53">
            <v>74.5</v>
          </cell>
          <cell r="CD53">
            <v>73</v>
          </cell>
          <cell r="CE53">
            <v>3.8999999999999995</v>
          </cell>
          <cell r="CF53">
            <v>3.8999999999999995</v>
          </cell>
          <cell r="CG53">
            <v>3.9999999999999996</v>
          </cell>
          <cell r="CH53">
            <v>3.9999999999999996</v>
          </cell>
          <cell r="CI53">
            <v>3.8499999999999996</v>
          </cell>
          <cell r="CJ53">
            <v>6.1</v>
          </cell>
          <cell r="CK53">
            <v>5.8</v>
          </cell>
          <cell r="CL53">
            <v>3.0999999999999996</v>
          </cell>
          <cell r="CM53">
            <v>9.6</v>
          </cell>
          <cell r="CN53">
            <v>3.95</v>
          </cell>
          <cell r="CO53">
            <v>1.5</v>
          </cell>
          <cell r="CP53">
            <v>220</v>
          </cell>
        </row>
      </sheetData>
      <sheetData sheetId="6">
        <row r="2">
          <cell r="A2">
            <v>42735</v>
          </cell>
          <cell r="C2" t="str">
            <v>Canadian Dollar</v>
          </cell>
          <cell r="D2" t="str">
            <v>Euro</v>
          </cell>
          <cell r="E2" t="str">
            <v>British Pound</v>
          </cell>
          <cell r="F2" t="str">
            <v>Price Inflation</v>
          </cell>
          <cell r="G2" t="str">
            <v>WTI</v>
          </cell>
          <cell r="H2" t="str">
            <v>WTI Cdn</v>
          </cell>
          <cell r="I2" t="str">
            <v>NYMEX Henry Hub</v>
          </cell>
          <cell r="J2" t="str">
            <v>NYMEX Henry Hub Cdn</v>
          </cell>
          <cell r="K2" t="str">
            <v>Edmonton Light</v>
          </cell>
          <cell r="L2" t="str">
            <v>Hardisty MSO</v>
          </cell>
          <cell r="M2" t="str">
            <v>Hardisty Bow River</v>
          </cell>
          <cell r="N2" t="str">
            <v>Hardisty WCS</v>
          </cell>
          <cell r="O2" t="str">
            <v>Hardisty Heavy</v>
          </cell>
          <cell r="P2" t="str">
            <v>Cromer Light</v>
          </cell>
          <cell r="Q2" t="str">
            <v>Sarnia Refinery</v>
          </cell>
          <cell r="R2" t="str">
            <v>Synbit AWB</v>
          </cell>
          <cell r="S2" t="str">
            <v>AECO-C Spot</v>
          </cell>
          <cell r="T2" t="str">
            <v>Alberta Gas Reference</v>
          </cell>
          <cell r="U2" t="str">
            <v>BC Westcoast Station 2</v>
          </cell>
          <cell r="V2" t="str">
            <v>Ontario Dawn</v>
          </cell>
          <cell r="W2" t="str">
            <v>Ethane FOB Edmonton</v>
          </cell>
          <cell r="X2" t="str">
            <v>Propane FOB Edmonton</v>
          </cell>
          <cell r="Y2" t="str">
            <v>Butane FOB Edmonton</v>
          </cell>
          <cell r="Z2" t="str">
            <v>Condensate FOB Edmonton</v>
          </cell>
          <cell r="AA2" t="str">
            <v>NGL</v>
          </cell>
          <cell r="AB2" t="str">
            <v>Ethane US</v>
          </cell>
          <cell r="AC2" t="str">
            <v>Propane US</v>
          </cell>
          <cell r="AD2" t="str">
            <v>Butane US</v>
          </cell>
          <cell r="AE2" t="str">
            <v>Condensate US</v>
          </cell>
          <cell r="AF2" t="str">
            <v>NGL US</v>
          </cell>
          <cell r="AG2" t="str">
            <v>WTI Royalty Price</v>
          </cell>
          <cell r="AH2" t="str">
            <v>AB Par Price (Light Oil)</v>
          </cell>
          <cell r="AI2" t="str">
            <v>AB Par Price (Medium Oil)</v>
          </cell>
          <cell r="AJ2" t="str">
            <v>AB Par Price (Heavy Oil)</v>
          </cell>
          <cell r="AK2" t="str">
            <v>AB Par Price (Ultra Heavy Oil)</v>
          </cell>
          <cell r="AL2" t="str">
            <v>Ethane Reference Price</v>
          </cell>
          <cell r="AM2" t="str">
            <v>Propane Reference Price</v>
          </cell>
          <cell r="AN2" t="str">
            <v>Butane Reference Price</v>
          </cell>
          <cell r="AO2" t="str">
            <v>Pentane+ Reference Price</v>
          </cell>
          <cell r="AP2" t="str">
            <v>Methane ISC Reference</v>
          </cell>
          <cell r="AQ2" t="str">
            <v>Ethane ISC Reference</v>
          </cell>
          <cell r="AR2" t="str">
            <v>Propane ISC Reference</v>
          </cell>
          <cell r="AS2" t="str">
            <v>Butane ISC Reference</v>
          </cell>
          <cell r="AT2" t="str">
            <v>Pentane+ ISC Reference</v>
          </cell>
          <cell r="AU2" t="str">
            <v>Ethane Par Price</v>
          </cell>
          <cell r="AV2" t="str">
            <v>Pentane+ Par Price</v>
          </cell>
          <cell r="AW2" t="str">
            <v>AB Transportation Adjustment (C1)</v>
          </cell>
          <cell r="AX2" t="str">
            <v>AB Transportation Adjustment (C2)</v>
          </cell>
          <cell r="AY2" t="str">
            <v>AB Transportation Adjustment (C3)</v>
          </cell>
          <cell r="AZ2" t="str">
            <v>AB Transportation Adjustment (C4)</v>
          </cell>
          <cell r="BA2" t="str">
            <v>AB Transportation Adjustment (C5+)</v>
          </cell>
          <cell r="BB2" t="str">
            <v>BC Threshold (Third Tier Oil)</v>
          </cell>
          <cell r="BC2" t="str">
            <v>BC Threshold (Heavy Oil)</v>
          </cell>
          <cell r="BD2" t="str">
            <v>BC Select Price (Gas)</v>
          </cell>
          <cell r="BE2" t="str">
            <v>BC PMP Group 1</v>
          </cell>
          <cell r="BF2" t="str">
            <v>BC PMP Group 2</v>
          </cell>
          <cell r="BG2" t="str">
            <v>BC PMP Group 3</v>
          </cell>
          <cell r="BH2" t="str">
            <v>BC PMP Group 4</v>
          </cell>
          <cell r="BI2" t="str">
            <v>BC PMP Group 5</v>
          </cell>
          <cell r="BJ2" t="str">
            <v>SK Non Heavy Oil Par Price (NOP)</v>
          </cell>
          <cell r="BK2" t="str">
            <v>SK Southwest Oil Par Price (SOP)</v>
          </cell>
          <cell r="BL2" t="str">
            <v>SK Heavy Oil Par Price (HOP)</v>
          </cell>
          <cell r="BM2" t="str">
            <v>SK Provincial Gas Price (PGP)</v>
          </cell>
          <cell r="BN2" t="str">
            <v>SK Gas Cost Allowance</v>
          </cell>
          <cell r="BO2" t="str">
            <v>Sulphur Alberta Plantgate</v>
          </cell>
          <cell r="BP2" t="str">
            <v>Alaskan North Slope</v>
          </cell>
          <cell r="BQ2" t="str">
            <v>California Kern River</v>
          </cell>
          <cell r="BR2" t="str">
            <v>Louisiana Heavy Sweet</v>
          </cell>
          <cell r="BS2" t="str">
            <v>Louisiana Light Sweet</v>
          </cell>
          <cell r="BT2" t="str">
            <v>MARS Blend</v>
          </cell>
          <cell r="BU2" t="str">
            <v>Wyoming Sweet</v>
          </cell>
          <cell r="BV2" t="str">
            <v>Gulf Coast Argus Sour Crude Index</v>
          </cell>
          <cell r="BW2" t="str">
            <v>Brent Spot</v>
          </cell>
          <cell r="BX2" t="str">
            <v>Average OPEC Basket</v>
          </cell>
          <cell r="BY2" t="str">
            <v>Venezuelan Merey Crude</v>
          </cell>
          <cell r="BZ2" t="str">
            <v>Nigerian Bonny Light</v>
          </cell>
          <cell r="CA2" t="str">
            <v>Arabia UAE Dubai Feteh</v>
          </cell>
          <cell r="CB2" t="str">
            <v>Mexico Maya</v>
          </cell>
          <cell r="CC2" t="str">
            <v>Russia Urals</v>
          </cell>
          <cell r="CD2" t="str">
            <v>Indonesia Minas</v>
          </cell>
          <cell r="CE2" t="str">
            <v>Permian Waha</v>
          </cell>
          <cell r="CF2" t="str">
            <v>San Juan Ignacio</v>
          </cell>
          <cell r="CG2" t="str">
            <v>Gulf Coast (Onshore)</v>
          </cell>
          <cell r="CH2" t="str">
            <v>Louisiana East Texas</v>
          </cell>
          <cell r="CI2" t="str">
            <v>Rocky Mountain Opal</v>
          </cell>
          <cell r="CJ2" t="str">
            <v>UK National Balancing Point</v>
          </cell>
          <cell r="CK2" t="str">
            <v>Russian Natural Gas Border Price in Germany</v>
          </cell>
          <cell r="CL2" t="str">
            <v>Russian Average Domestic Natural Gas</v>
          </cell>
          <cell r="CM2" t="str">
            <v>Indonesian LNG in Japan</v>
          </cell>
          <cell r="CN2" t="str">
            <v>India Domestic Gas</v>
          </cell>
          <cell r="CO2" t="str">
            <v>Ethanol CBOT</v>
          </cell>
          <cell r="CP2" t="str">
            <v>Potash FOB Vancouver</v>
          </cell>
        </row>
        <row r="3">
          <cell r="G3" t="str">
            <v>US/bbl</v>
          </cell>
          <cell r="H3" t="str">
            <v>CAD/bbl</v>
          </cell>
          <cell r="I3" t="str">
            <v>US/Mcf</v>
          </cell>
          <cell r="J3" t="str">
            <v>CAD/Mcf</v>
          </cell>
          <cell r="K3" t="str">
            <v>CAD/bbl</v>
          </cell>
          <cell r="L3" t="str">
            <v>CAD/bbl</v>
          </cell>
          <cell r="M3" t="str">
            <v>CAD/bbl</v>
          </cell>
          <cell r="N3" t="str">
            <v>CAD/bbl</v>
          </cell>
          <cell r="O3" t="str">
            <v>CAD/bbl</v>
          </cell>
          <cell r="P3" t="str">
            <v>CAD/bbl</v>
          </cell>
          <cell r="Q3" t="str">
            <v>CAD/bbl</v>
          </cell>
          <cell r="R3" t="str">
            <v>CAD/bbl</v>
          </cell>
          <cell r="S3" t="str">
            <v>CAD/Mcf</v>
          </cell>
          <cell r="T3" t="str">
            <v>CAD/Mcf</v>
          </cell>
          <cell r="U3" t="str">
            <v>CAD/Mcf</v>
          </cell>
          <cell r="V3" t="str">
            <v>CAD/Mcf</v>
          </cell>
          <cell r="W3" t="str">
            <v>CAD/bbl</v>
          </cell>
          <cell r="X3" t="str">
            <v>CAD/bbl</v>
          </cell>
          <cell r="Y3" t="str">
            <v>CAD/bbl</v>
          </cell>
          <cell r="Z3" t="str">
            <v>CAD/bbl</v>
          </cell>
          <cell r="AA3" t="str">
            <v>CAD/bbl</v>
          </cell>
          <cell r="AB3" t="str">
            <v>USD/bbl</v>
          </cell>
          <cell r="AC3" t="str">
            <v>USD/bbl</v>
          </cell>
          <cell r="AD3" t="str">
            <v>USD/bbl</v>
          </cell>
          <cell r="AE3" t="str">
            <v>USD/bbl</v>
          </cell>
          <cell r="AF3" t="str">
            <v>USD/bbl</v>
          </cell>
          <cell r="AG3" t="str">
            <v>CAD/bbl</v>
          </cell>
          <cell r="AH3" t="str">
            <v>CAD/bbl</v>
          </cell>
          <cell r="AI3" t="str">
            <v>CAD/bbl</v>
          </cell>
          <cell r="AJ3" t="str">
            <v>CAD/bbl</v>
          </cell>
          <cell r="AK3" t="str">
            <v>CAD/bbl</v>
          </cell>
          <cell r="AL3" t="str">
            <v>CAD/Mcf</v>
          </cell>
          <cell r="AM3" t="str">
            <v>CAD/bbl</v>
          </cell>
          <cell r="AN3" t="str">
            <v>CAD/bbl</v>
          </cell>
          <cell r="AO3" t="str">
            <v>CAD/bbl</v>
          </cell>
          <cell r="AP3" t="str">
            <v>CAD/Mcf</v>
          </cell>
          <cell r="AQ3" t="str">
            <v>CAD/Mcf</v>
          </cell>
          <cell r="AR3" t="str">
            <v>CAD/Mcf</v>
          </cell>
          <cell r="AS3" t="str">
            <v>CAD/Mcf</v>
          </cell>
          <cell r="AT3" t="str">
            <v>CAD/Mcf</v>
          </cell>
          <cell r="AU3" t="str">
            <v>CAD/Mcf</v>
          </cell>
          <cell r="AV3" t="str">
            <v>CAD/bbl</v>
          </cell>
          <cell r="AW3" t="str">
            <v>CAD/Mcf</v>
          </cell>
          <cell r="AX3" t="str">
            <v>CAD/Mcf</v>
          </cell>
          <cell r="AY3" t="str">
            <v>CAD/Mcf</v>
          </cell>
          <cell r="AZ3" t="str">
            <v>CAD/Mcf</v>
          </cell>
          <cell r="BA3" t="str">
            <v>CAD/Mcf</v>
          </cell>
          <cell r="BB3" t="str">
            <v>CAD/bbl</v>
          </cell>
          <cell r="BC3" t="str">
            <v>CAD/bbl</v>
          </cell>
          <cell r="BD3" t="str">
            <v>CAD/Mcf</v>
          </cell>
          <cell r="BE3" t="str">
            <v>CAD/Mcf</v>
          </cell>
          <cell r="BF3" t="str">
            <v>CAD/Mcf</v>
          </cell>
          <cell r="BG3" t="str">
            <v>CAD/Mcf</v>
          </cell>
          <cell r="BH3" t="str">
            <v>CAD/Mcf</v>
          </cell>
          <cell r="BI3" t="str">
            <v>CAD/Mcf</v>
          </cell>
          <cell r="BJ3" t="str">
            <v>CAD/bbl</v>
          </cell>
          <cell r="BK3" t="str">
            <v>CAD/bbl</v>
          </cell>
          <cell r="BL3" t="str">
            <v>CAD/bbl</v>
          </cell>
          <cell r="BM3" t="str">
            <v>CAD/Mcf</v>
          </cell>
          <cell r="BN3" t="str">
            <v>CAD/Mcf</v>
          </cell>
          <cell r="BO3" t="str">
            <v>CAD/lt</v>
          </cell>
          <cell r="BP3" t="str">
            <v>US/bbl</v>
          </cell>
          <cell r="BQ3" t="str">
            <v>US/bbl</v>
          </cell>
          <cell r="BR3" t="str">
            <v>US/bbl</v>
          </cell>
          <cell r="BS3" t="str">
            <v>US/bbl</v>
          </cell>
          <cell r="BT3" t="str">
            <v>US/bbl</v>
          </cell>
          <cell r="BU3" t="str">
            <v>US/bbl</v>
          </cell>
          <cell r="BV3" t="str">
            <v>US/bbl</v>
          </cell>
          <cell r="BW3" t="str">
            <v>US/bbl</v>
          </cell>
          <cell r="BX3" t="str">
            <v>US/bbl</v>
          </cell>
          <cell r="BY3" t="str">
            <v>US/bbl</v>
          </cell>
          <cell r="BZ3" t="str">
            <v>US/bbl</v>
          </cell>
          <cell r="CA3" t="str">
            <v>US/bbl</v>
          </cell>
          <cell r="CB3" t="str">
            <v>US/bbl</v>
          </cell>
          <cell r="CC3" t="str">
            <v>US/bbl</v>
          </cell>
          <cell r="CD3" t="str">
            <v>US/bbl</v>
          </cell>
          <cell r="CE3" t="str">
            <v>US/Mcf</v>
          </cell>
          <cell r="CF3" t="str">
            <v>US/Mcf</v>
          </cell>
          <cell r="CG3" t="str">
            <v>US/Mcf</v>
          </cell>
          <cell r="CH3" t="str">
            <v>US/Mcf</v>
          </cell>
          <cell r="CI3" t="str">
            <v>US/Mcf</v>
          </cell>
          <cell r="CJ3" t="str">
            <v>US/Mcf</v>
          </cell>
          <cell r="CK3" t="str">
            <v>US/Mcf</v>
          </cell>
          <cell r="CL3" t="str">
            <v>US/Mcf</v>
          </cell>
          <cell r="CM3" t="str">
            <v>US/Mcf</v>
          </cell>
          <cell r="CN3" t="str">
            <v>US/Mcf</v>
          </cell>
          <cell r="CO3" t="str">
            <v>US/gal</v>
          </cell>
          <cell r="CP3" t="str">
            <v>US/tonne</v>
          </cell>
        </row>
        <row r="4">
          <cell r="A4">
            <v>1</v>
          </cell>
          <cell r="B4">
            <v>2017</v>
          </cell>
          <cell r="C4">
            <v>0.74</v>
          </cell>
          <cell r="D4">
            <v>1.05</v>
          </cell>
          <cell r="E4">
            <v>1.25</v>
          </cell>
          <cell r="F4">
            <v>0</v>
          </cell>
          <cell r="G4">
            <v>55</v>
          </cell>
          <cell r="H4">
            <v>74.3</v>
          </cell>
          <cell r="I4">
            <v>3.3000000000000003</v>
          </cell>
          <cell r="J4">
            <v>4.45</v>
          </cell>
          <cell r="K4">
            <v>68.899999999999991</v>
          </cell>
          <cell r="L4">
            <v>64.900000000000006</v>
          </cell>
          <cell r="M4">
            <v>55.4</v>
          </cell>
          <cell r="N4">
            <v>52.9</v>
          </cell>
          <cell r="O4">
            <v>48.9</v>
          </cell>
          <cell r="P4">
            <v>67.400000000000006</v>
          </cell>
          <cell r="Q4">
            <v>74.900000000000006</v>
          </cell>
          <cell r="R4">
            <v>54.900000000000006</v>
          </cell>
          <cell r="S4">
            <v>3.25</v>
          </cell>
          <cell r="T4">
            <v>3.05</v>
          </cell>
          <cell r="U4">
            <v>2.75</v>
          </cell>
          <cell r="V4">
            <v>4.6999999999999993</v>
          </cell>
          <cell r="W4">
            <v>9.1</v>
          </cell>
          <cell r="X4">
            <v>13.799999999999999</v>
          </cell>
          <cell r="Y4">
            <v>41.349999999999994</v>
          </cell>
          <cell r="Z4">
            <v>68.899999999999991</v>
          </cell>
          <cell r="AA4">
            <v>34.449999999999996</v>
          </cell>
          <cell r="AB4">
            <v>6.75</v>
          </cell>
          <cell r="AC4">
            <v>10.199999999999999</v>
          </cell>
          <cell r="AD4">
            <v>30.6</v>
          </cell>
          <cell r="AE4">
            <v>51</v>
          </cell>
          <cell r="AF4">
            <v>25.5</v>
          </cell>
          <cell r="AG4">
            <v>74.3</v>
          </cell>
          <cell r="AH4">
            <v>61</v>
          </cell>
          <cell r="AI4">
            <v>57.300000000000004</v>
          </cell>
          <cell r="AJ4">
            <v>50.4</v>
          </cell>
          <cell r="AK4">
            <v>42.65</v>
          </cell>
          <cell r="AL4">
            <v>3.05</v>
          </cell>
          <cell r="AM4">
            <v>13.799999999999999</v>
          </cell>
          <cell r="AN4">
            <v>41.349999999999994</v>
          </cell>
          <cell r="AO4">
            <v>68.899999999999991</v>
          </cell>
          <cell r="AP4">
            <v>3.05</v>
          </cell>
          <cell r="AQ4">
            <v>3.05</v>
          </cell>
          <cell r="AR4">
            <v>3.05</v>
          </cell>
          <cell r="AS4">
            <v>3.05</v>
          </cell>
          <cell r="AT4">
            <v>3.05</v>
          </cell>
          <cell r="AU4">
            <v>3.05</v>
          </cell>
          <cell r="AV4">
            <v>68.899999999999991</v>
          </cell>
          <cell r="AW4">
            <v>0.19600000000000001</v>
          </cell>
          <cell r="AX4">
            <v>0.19600000000000001</v>
          </cell>
          <cell r="AY4">
            <v>0.19600000000000001</v>
          </cell>
          <cell r="AZ4">
            <v>0.19600000000000001</v>
          </cell>
          <cell r="BA4">
            <v>0.19600000000000001</v>
          </cell>
          <cell r="BB4">
            <v>19.863750562144144</v>
          </cell>
          <cell r="BC4">
            <v>17.480100494686845</v>
          </cell>
          <cell r="BD4">
            <v>1.4158409953928535</v>
          </cell>
          <cell r="BE4">
            <v>0.8</v>
          </cell>
          <cell r="BF4">
            <v>1.3</v>
          </cell>
          <cell r="BG4">
            <v>1</v>
          </cell>
          <cell r="BH4">
            <v>1.6500000000000001</v>
          </cell>
          <cell r="BI4">
            <v>1.45</v>
          </cell>
          <cell r="BJ4">
            <v>62</v>
          </cell>
          <cell r="BK4">
            <v>51.7</v>
          </cell>
          <cell r="BL4">
            <v>41.349999999999994</v>
          </cell>
          <cell r="BM4">
            <v>3.15</v>
          </cell>
          <cell r="BN4">
            <v>0.28316819907857066</v>
          </cell>
          <cell r="BO4">
            <v>50</v>
          </cell>
          <cell r="BP4">
            <v>46</v>
          </cell>
          <cell r="BQ4">
            <v>50</v>
          </cell>
          <cell r="BR4">
            <v>52.5</v>
          </cell>
          <cell r="BS4">
            <v>53</v>
          </cell>
          <cell r="BT4">
            <v>50</v>
          </cell>
          <cell r="BU4">
            <v>49</v>
          </cell>
          <cell r="BV4">
            <v>50</v>
          </cell>
          <cell r="BW4">
            <v>56</v>
          </cell>
          <cell r="BX4">
            <v>54</v>
          </cell>
          <cell r="BY4">
            <v>47</v>
          </cell>
          <cell r="BZ4">
            <v>56.4</v>
          </cell>
          <cell r="CA4">
            <v>53.5</v>
          </cell>
          <cell r="CB4">
            <v>48.5</v>
          </cell>
          <cell r="CC4">
            <v>54.5</v>
          </cell>
          <cell r="CD4">
            <v>53</v>
          </cell>
          <cell r="CE4">
            <v>3.1</v>
          </cell>
          <cell r="CF4">
            <v>3.1</v>
          </cell>
          <cell r="CG4">
            <v>3.2</v>
          </cell>
          <cell r="CH4">
            <v>3.2</v>
          </cell>
          <cell r="CI4">
            <v>3.05</v>
          </cell>
          <cell r="CJ4">
            <v>5.3000000000000007</v>
          </cell>
          <cell r="CK4">
            <v>5</v>
          </cell>
          <cell r="CL4">
            <v>2.3000000000000003</v>
          </cell>
          <cell r="CM4">
            <v>8.8000000000000007</v>
          </cell>
          <cell r="CN4">
            <v>2.4500000000000002</v>
          </cell>
          <cell r="CO4">
            <v>1.5</v>
          </cell>
          <cell r="CP4">
            <v>220</v>
          </cell>
        </row>
        <row r="5">
          <cell r="A5">
            <v>2</v>
          </cell>
          <cell r="B5">
            <v>2018</v>
          </cell>
          <cell r="C5">
            <v>0.76</v>
          </cell>
          <cell r="D5">
            <v>1.05</v>
          </cell>
          <cell r="E5">
            <v>1.25</v>
          </cell>
          <cell r="F5">
            <v>0.02</v>
          </cell>
          <cell r="G5">
            <v>58.150000000000006</v>
          </cell>
          <cell r="H5">
            <v>76.5</v>
          </cell>
          <cell r="I5">
            <v>3.4000000000000004</v>
          </cell>
          <cell r="J5">
            <v>4.5</v>
          </cell>
          <cell r="K5">
            <v>71.150000000000006</v>
          </cell>
          <cell r="L5">
            <v>67.05</v>
          </cell>
          <cell r="M5">
            <v>57.400000000000006</v>
          </cell>
          <cell r="N5">
            <v>54.85</v>
          </cell>
          <cell r="O5">
            <v>50.75</v>
          </cell>
          <cell r="P5">
            <v>69.599999999999994</v>
          </cell>
          <cell r="Q5">
            <v>77.25</v>
          </cell>
          <cell r="R5">
            <v>56.849999999999994</v>
          </cell>
          <cell r="S5">
            <v>3.35</v>
          </cell>
          <cell r="T5">
            <v>3.15</v>
          </cell>
          <cell r="U5">
            <v>2.8499999999999996</v>
          </cell>
          <cell r="V5">
            <v>4.75</v>
          </cell>
          <cell r="W5">
            <v>9.4499999999999993</v>
          </cell>
          <cell r="X5">
            <v>21.349999999999998</v>
          </cell>
          <cell r="Y5">
            <v>42.699999999999996</v>
          </cell>
          <cell r="Z5">
            <v>71.150000000000006</v>
          </cell>
          <cell r="AA5">
            <v>38.799999999999997</v>
          </cell>
          <cell r="AB5">
            <v>7.1999999999999993</v>
          </cell>
          <cell r="AC5">
            <v>16.25</v>
          </cell>
          <cell r="AD5">
            <v>32.450000000000003</v>
          </cell>
          <cell r="AE5">
            <v>54.050000000000004</v>
          </cell>
          <cell r="AF5">
            <v>29.5</v>
          </cell>
          <cell r="AG5">
            <v>76.5</v>
          </cell>
          <cell r="AH5">
            <v>63.099999999999994</v>
          </cell>
          <cell r="AI5">
            <v>59.3</v>
          </cell>
          <cell r="AJ5">
            <v>52.300000000000004</v>
          </cell>
          <cell r="AK5">
            <v>44.349999999999994</v>
          </cell>
          <cell r="AL5">
            <v>3.15</v>
          </cell>
          <cell r="AM5">
            <v>21.349999999999998</v>
          </cell>
          <cell r="AN5">
            <v>42.699999999999996</v>
          </cell>
          <cell r="AO5">
            <v>71.150000000000006</v>
          </cell>
          <cell r="AP5">
            <v>3.15</v>
          </cell>
          <cell r="AQ5">
            <v>3.15</v>
          </cell>
          <cell r="AR5">
            <v>3.15</v>
          </cell>
          <cell r="AS5">
            <v>3.15</v>
          </cell>
          <cell r="AT5">
            <v>3.15</v>
          </cell>
          <cell r="AU5">
            <v>3.15</v>
          </cell>
          <cell r="AV5">
            <v>71.150000000000006</v>
          </cell>
          <cell r="AW5">
            <v>0.19600000000000001</v>
          </cell>
          <cell r="AX5">
            <v>0.19600000000000001</v>
          </cell>
          <cell r="AY5">
            <v>0.19600000000000001</v>
          </cell>
          <cell r="AZ5">
            <v>0.19600000000000001</v>
          </cell>
          <cell r="BA5">
            <v>0.19600000000000001</v>
          </cell>
          <cell r="BB5">
            <v>19.863750562144144</v>
          </cell>
          <cell r="BC5">
            <v>17.480100494686845</v>
          </cell>
          <cell r="BD5">
            <v>1.4158409953928535</v>
          </cell>
          <cell r="BE5">
            <v>0.85000000000000009</v>
          </cell>
          <cell r="BF5">
            <v>1.35</v>
          </cell>
          <cell r="BG5">
            <v>1</v>
          </cell>
          <cell r="BH5">
            <v>1.7000000000000002</v>
          </cell>
          <cell r="BI5">
            <v>1.55</v>
          </cell>
          <cell r="BJ5">
            <v>64.05</v>
          </cell>
          <cell r="BK5">
            <v>53.35</v>
          </cell>
          <cell r="BL5">
            <v>42.699999999999996</v>
          </cell>
          <cell r="BM5">
            <v>3.25</v>
          </cell>
          <cell r="BN5">
            <v>0.28316819907857066</v>
          </cell>
          <cell r="BO5">
            <v>51</v>
          </cell>
          <cell r="BP5">
            <v>48.949999999999996</v>
          </cell>
          <cell r="BQ5">
            <v>53.05</v>
          </cell>
          <cell r="BR5">
            <v>55.599999999999994</v>
          </cell>
          <cell r="BS5">
            <v>56.1</v>
          </cell>
          <cell r="BT5">
            <v>53.05</v>
          </cell>
          <cell r="BU5">
            <v>52</v>
          </cell>
          <cell r="BV5">
            <v>53.05</v>
          </cell>
          <cell r="BW5">
            <v>59.15</v>
          </cell>
          <cell r="BX5">
            <v>57.1</v>
          </cell>
          <cell r="BY5">
            <v>50</v>
          </cell>
          <cell r="BZ5">
            <v>59.55</v>
          </cell>
          <cell r="CA5">
            <v>56.6</v>
          </cell>
          <cell r="CB5">
            <v>51.5</v>
          </cell>
          <cell r="CC5">
            <v>57.65</v>
          </cell>
          <cell r="CD5">
            <v>56.1</v>
          </cell>
          <cell r="CE5">
            <v>3.2</v>
          </cell>
          <cell r="CF5">
            <v>3.2</v>
          </cell>
          <cell r="CG5">
            <v>3.3000000000000003</v>
          </cell>
          <cell r="CH5">
            <v>3.3000000000000003</v>
          </cell>
          <cell r="CI5">
            <v>3.15</v>
          </cell>
          <cell r="CJ5">
            <v>5.45</v>
          </cell>
          <cell r="CK5">
            <v>5.15</v>
          </cell>
          <cell r="CL5">
            <v>2.4</v>
          </cell>
          <cell r="CM5">
            <v>9.0500000000000007</v>
          </cell>
          <cell r="CN5">
            <v>3.2</v>
          </cell>
          <cell r="CO5">
            <v>1.55</v>
          </cell>
          <cell r="CP5">
            <v>224.4</v>
          </cell>
        </row>
        <row r="6">
          <cell r="A6">
            <v>3</v>
          </cell>
          <cell r="B6">
            <v>2019</v>
          </cell>
          <cell r="C6">
            <v>0.78</v>
          </cell>
          <cell r="D6">
            <v>1.05</v>
          </cell>
          <cell r="E6">
            <v>1.25</v>
          </cell>
          <cell r="F6">
            <v>0.02</v>
          </cell>
          <cell r="G6">
            <v>62.400000000000006</v>
          </cell>
          <cell r="H6">
            <v>80.050000000000011</v>
          </cell>
          <cell r="I6">
            <v>3.55</v>
          </cell>
          <cell r="J6">
            <v>4.55</v>
          </cell>
          <cell r="K6">
            <v>74.7</v>
          </cell>
          <cell r="L6">
            <v>70.55</v>
          </cell>
          <cell r="M6">
            <v>60.650000000000006</v>
          </cell>
          <cell r="N6">
            <v>58.05</v>
          </cell>
          <cell r="O6">
            <v>53.9</v>
          </cell>
          <cell r="P6">
            <v>73.150000000000006</v>
          </cell>
          <cell r="Q6">
            <v>80.95</v>
          </cell>
          <cell r="R6">
            <v>60.15</v>
          </cell>
          <cell r="S6">
            <v>3.5</v>
          </cell>
          <cell r="T6">
            <v>3.3000000000000003</v>
          </cell>
          <cell r="U6">
            <v>2.9499999999999997</v>
          </cell>
          <cell r="V6">
            <v>4.8</v>
          </cell>
          <cell r="W6">
            <v>9.8000000000000007</v>
          </cell>
          <cell r="X6">
            <v>29.849999999999998</v>
          </cell>
          <cell r="Y6">
            <v>44.85</v>
          </cell>
          <cell r="Z6">
            <v>74.7</v>
          </cell>
          <cell r="AA6">
            <v>44.050000000000004</v>
          </cell>
          <cell r="AB6">
            <v>7.65</v>
          </cell>
          <cell r="AC6">
            <v>23.3</v>
          </cell>
          <cell r="AD6">
            <v>35</v>
          </cell>
          <cell r="AE6">
            <v>58.25</v>
          </cell>
          <cell r="AF6">
            <v>34.35</v>
          </cell>
          <cell r="AG6">
            <v>80.050000000000011</v>
          </cell>
          <cell r="AH6">
            <v>66.5</v>
          </cell>
          <cell r="AI6">
            <v>62.65</v>
          </cell>
          <cell r="AJ6">
            <v>55.45</v>
          </cell>
          <cell r="AK6">
            <v>47.400000000000006</v>
          </cell>
          <cell r="AL6">
            <v>3.3000000000000003</v>
          </cell>
          <cell r="AM6">
            <v>29.849999999999998</v>
          </cell>
          <cell r="AN6">
            <v>44.85</v>
          </cell>
          <cell r="AO6">
            <v>74.7</v>
          </cell>
          <cell r="AP6">
            <v>3.3000000000000003</v>
          </cell>
          <cell r="AQ6">
            <v>3.3000000000000003</v>
          </cell>
          <cell r="AR6">
            <v>3.3000000000000003</v>
          </cell>
          <cell r="AS6">
            <v>3.3000000000000003</v>
          </cell>
          <cell r="AT6">
            <v>3.3000000000000003</v>
          </cell>
          <cell r="AU6">
            <v>3.3000000000000003</v>
          </cell>
          <cell r="AV6">
            <v>74.7</v>
          </cell>
          <cell r="AW6">
            <v>0.19600000000000001</v>
          </cell>
          <cell r="AX6">
            <v>0.19600000000000001</v>
          </cell>
          <cell r="AY6">
            <v>0.19600000000000001</v>
          </cell>
          <cell r="AZ6">
            <v>0.19600000000000001</v>
          </cell>
          <cell r="BA6">
            <v>0.19600000000000001</v>
          </cell>
          <cell r="BB6">
            <v>19.863750562144144</v>
          </cell>
          <cell r="BC6">
            <v>17.480100494686845</v>
          </cell>
          <cell r="BD6">
            <v>1.4158409953928535</v>
          </cell>
          <cell r="BE6">
            <v>0.89999999999999991</v>
          </cell>
          <cell r="BF6">
            <v>1.4000000000000001</v>
          </cell>
          <cell r="BG6">
            <v>1.05</v>
          </cell>
          <cell r="BH6">
            <v>1.75</v>
          </cell>
          <cell r="BI6">
            <v>1.55</v>
          </cell>
          <cell r="BJ6">
            <v>67.2</v>
          </cell>
          <cell r="BK6">
            <v>56.050000000000004</v>
          </cell>
          <cell r="BL6">
            <v>44.85</v>
          </cell>
          <cell r="BM6">
            <v>3.4000000000000004</v>
          </cell>
          <cell r="BN6">
            <v>0.28316819907857066</v>
          </cell>
          <cell r="BO6">
            <v>52</v>
          </cell>
          <cell r="BP6">
            <v>53.05</v>
          </cell>
          <cell r="BQ6">
            <v>57.199999999999996</v>
          </cell>
          <cell r="BR6">
            <v>59.800000000000004</v>
          </cell>
          <cell r="BS6">
            <v>60.35</v>
          </cell>
          <cell r="BT6">
            <v>57.199999999999996</v>
          </cell>
          <cell r="BU6">
            <v>56.2</v>
          </cell>
          <cell r="BV6">
            <v>57.199999999999996</v>
          </cell>
          <cell r="BW6">
            <v>63.449999999999996</v>
          </cell>
          <cell r="BX6">
            <v>61.4</v>
          </cell>
          <cell r="BY6">
            <v>54.1</v>
          </cell>
          <cell r="BZ6">
            <v>63.9</v>
          </cell>
          <cell r="CA6">
            <v>60.85</v>
          </cell>
          <cell r="CB6">
            <v>55.650000000000006</v>
          </cell>
          <cell r="CC6">
            <v>61.900000000000006</v>
          </cell>
          <cell r="CD6">
            <v>60.35</v>
          </cell>
          <cell r="CE6">
            <v>3.35</v>
          </cell>
          <cell r="CF6">
            <v>3.35</v>
          </cell>
          <cell r="CG6">
            <v>3.4499999999999997</v>
          </cell>
          <cell r="CH6">
            <v>3.4499999999999997</v>
          </cell>
          <cell r="CI6">
            <v>3.3000000000000003</v>
          </cell>
          <cell r="CJ6">
            <v>5.6000000000000005</v>
          </cell>
          <cell r="CK6">
            <v>5.3000000000000007</v>
          </cell>
          <cell r="CL6">
            <v>2.5</v>
          </cell>
          <cell r="CM6">
            <v>9.25</v>
          </cell>
          <cell r="CN6">
            <v>3.35</v>
          </cell>
          <cell r="CO6">
            <v>1.55</v>
          </cell>
          <cell r="CP6">
            <v>228.9</v>
          </cell>
        </row>
        <row r="7">
          <cell r="A7">
            <v>4</v>
          </cell>
          <cell r="B7">
            <v>2020</v>
          </cell>
          <cell r="C7">
            <v>0.81</v>
          </cell>
          <cell r="D7">
            <v>1.05</v>
          </cell>
          <cell r="E7">
            <v>1.25</v>
          </cell>
          <cell r="F7">
            <v>0.02</v>
          </cell>
          <cell r="G7">
            <v>69</v>
          </cell>
          <cell r="H7">
            <v>85.15</v>
          </cell>
          <cell r="I7">
            <v>3.65</v>
          </cell>
          <cell r="J7">
            <v>4.5</v>
          </cell>
          <cell r="K7">
            <v>79.900000000000006</v>
          </cell>
          <cell r="L7">
            <v>75.650000000000006</v>
          </cell>
          <cell r="M7">
            <v>65.599999999999994</v>
          </cell>
          <cell r="N7">
            <v>62.95</v>
          </cell>
          <cell r="O7">
            <v>58.7</v>
          </cell>
          <cell r="P7">
            <v>78.3</v>
          </cell>
          <cell r="Q7">
            <v>86.300000000000011</v>
          </cell>
          <cell r="R7">
            <v>65.05</v>
          </cell>
          <cell r="S7">
            <v>3.55</v>
          </cell>
          <cell r="T7">
            <v>3.35</v>
          </cell>
          <cell r="U7">
            <v>3</v>
          </cell>
          <cell r="V7">
            <v>4.8</v>
          </cell>
          <cell r="W7">
            <v>10</v>
          </cell>
          <cell r="X7">
            <v>31.95</v>
          </cell>
          <cell r="Y7">
            <v>47.95</v>
          </cell>
          <cell r="Z7">
            <v>79.900000000000006</v>
          </cell>
          <cell r="AA7">
            <v>47.15</v>
          </cell>
          <cell r="AB7">
            <v>8.1000000000000014</v>
          </cell>
          <cell r="AC7">
            <v>25.9</v>
          </cell>
          <cell r="AD7">
            <v>38.849999999999994</v>
          </cell>
          <cell r="AE7">
            <v>64.7</v>
          </cell>
          <cell r="AF7">
            <v>38.199999999999996</v>
          </cell>
          <cell r="AG7">
            <v>85.15</v>
          </cell>
          <cell r="AH7">
            <v>71.55</v>
          </cell>
          <cell r="AI7">
            <v>67.599999999999994</v>
          </cell>
          <cell r="AJ7">
            <v>60.300000000000004</v>
          </cell>
          <cell r="AK7">
            <v>52.05</v>
          </cell>
          <cell r="AL7">
            <v>3.35</v>
          </cell>
          <cell r="AM7">
            <v>31.95</v>
          </cell>
          <cell r="AN7">
            <v>47.95</v>
          </cell>
          <cell r="AO7">
            <v>79.900000000000006</v>
          </cell>
          <cell r="AP7">
            <v>3.35</v>
          </cell>
          <cell r="AQ7">
            <v>3.35</v>
          </cell>
          <cell r="AR7">
            <v>3.35</v>
          </cell>
          <cell r="AS7">
            <v>3.35</v>
          </cell>
          <cell r="AT7">
            <v>3.35</v>
          </cell>
          <cell r="AU7">
            <v>3.35</v>
          </cell>
          <cell r="AV7">
            <v>79.900000000000006</v>
          </cell>
          <cell r="AW7">
            <v>0.19600000000000001</v>
          </cell>
          <cell r="AX7">
            <v>0.19600000000000001</v>
          </cell>
          <cell r="AY7">
            <v>0.19600000000000001</v>
          </cell>
          <cell r="AZ7">
            <v>0.19600000000000001</v>
          </cell>
          <cell r="BA7">
            <v>0.19600000000000001</v>
          </cell>
          <cell r="BB7">
            <v>19.863750562144144</v>
          </cell>
          <cell r="BC7">
            <v>17.480100494686845</v>
          </cell>
          <cell r="BD7">
            <v>1.4158409953928535</v>
          </cell>
          <cell r="BE7">
            <v>0.89999999999999991</v>
          </cell>
          <cell r="BF7">
            <v>1.45</v>
          </cell>
          <cell r="BG7">
            <v>1.05</v>
          </cell>
          <cell r="BH7">
            <v>1.7999999999999998</v>
          </cell>
          <cell r="BI7">
            <v>1.6</v>
          </cell>
          <cell r="BJ7">
            <v>71.900000000000006</v>
          </cell>
          <cell r="BK7">
            <v>59.95</v>
          </cell>
          <cell r="BL7">
            <v>47.95</v>
          </cell>
          <cell r="BM7">
            <v>3.4499999999999997</v>
          </cell>
          <cell r="BN7">
            <v>0.28316819907857066</v>
          </cell>
          <cell r="BO7">
            <v>53.05</v>
          </cell>
          <cell r="BP7">
            <v>59.45</v>
          </cell>
          <cell r="BQ7">
            <v>63.650000000000006</v>
          </cell>
          <cell r="BR7">
            <v>66.349999999999994</v>
          </cell>
          <cell r="BS7">
            <v>66.849999999999994</v>
          </cell>
          <cell r="BT7">
            <v>63.650000000000006</v>
          </cell>
          <cell r="BU7">
            <v>62.599999999999994</v>
          </cell>
          <cell r="BV7">
            <v>63.650000000000006</v>
          </cell>
          <cell r="BW7">
            <v>70.05</v>
          </cell>
          <cell r="BX7">
            <v>67.900000000000006</v>
          </cell>
          <cell r="BY7">
            <v>60.5</v>
          </cell>
          <cell r="BZ7">
            <v>70.45</v>
          </cell>
          <cell r="CA7">
            <v>67.400000000000006</v>
          </cell>
          <cell r="CB7">
            <v>62.1</v>
          </cell>
          <cell r="CC7">
            <v>68.45</v>
          </cell>
          <cell r="CD7">
            <v>66.849999999999994</v>
          </cell>
          <cell r="CE7">
            <v>3.4499999999999997</v>
          </cell>
          <cell r="CF7">
            <v>3.4499999999999997</v>
          </cell>
          <cell r="CG7">
            <v>3.55</v>
          </cell>
          <cell r="CH7">
            <v>3.55</v>
          </cell>
          <cell r="CI7">
            <v>3.4000000000000004</v>
          </cell>
          <cell r="CJ7">
            <v>5.8</v>
          </cell>
          <cell r="CK7">
            <v>5.45</v>
          </cell>
          <cell r="CL7">
            <v>2.6</v>
          </cell>
          <cell r="CM7">
            <v>9.5</v>
          </cell>
          <cell r="CN7">
            <v>3.4499999999999997</v>
          </cell>
          <cell r="CO7">
            <v>1.6</v>
          </cell>
          <cell r="CP7">
            <v>233.45</v>
          </cell>
        </row>
        <row r="8">
          <cell r="A8">
            <v>5</v>
          </cell>
          <cell r="B8">
            <v>2021</v>
          </cell>
          <cell r="C8">
            <v>0.85</v>
          </cell>
          <cell r="D8">
            <v>1.05</v>
          </cell>
          <cell r="E8">
            <v>1.25</v>
          </cell>
          <cell r="F8">
            <v>0.02</v>
          </cell>
          <cell r="G8">
            <v>75.75</v>
          </cell>
          <cell r="H8">
            <v>89.149999999999991</v>
          </cell>
          <cell r="I8">
            <v>3.8</v>
          </cell>
          <cell r="J8">
            <v>4.45</v>
          </cell>
          <cell r="K8">
            <v>84.05</v>
          </cell>
          <cell r="L8">
            <v>79.7</v>
          </cell>
          <cell r="M8">
            <v>69.45</v>
          </cell>
          <cell r="N8">
            <v>66.75</v>
          </cell>
          <cell r="O8">
            <v>62.400000000000006</v>
          </cell>
          <cell r="P8">
            <v>82.449999999999989</v>
          </cell>
          <cell r="Q8">
            <v>90.55</v>
          </cell>
          <cell r="R8">
            <v>68.899999999999991</v>
          </cell>
          <cell r="S8">
            <v>3.7</v>
          </cell>
          <cell r="T8">
            <v>3.4499999999999997</v>
          </cell>
          <cell r="U8">
            <v>3.15</v>
          </cell>
          <cell r="V8">
            <v>4.6999999999999993</v>
          </cell>
          <cell r="W8">
            <v>10.3</v>
          </cell>
          <cell r="X8">
            <v>33.6</v>
          </cell>
          <cell r="Y8">
            <v>50.45</v>
          </cell>
          <cell r="Z8">
            <v>84.05</v>
          </cell>
          <cell r="AA8">
            <v>49.6</v>
          </cell>
          <cell r="AB8">
            <v>8.75</v>
          </cell>
          <cell r="AC8">
            <v>28.55</v>
          </cell>
          <cell r="AD8">
            <v>42.9</v>
          </cell>
          <cell r="AE8">
            <v>71.449999999999989</v>
          </cell>
          <cell r="AF8">
            <v>42.15</v>
          </cell>
          <cell r="AG8">
            <v>89.149999999999991</v>
          </cell>
          <cell r="AH8">
            <v>75.5</v>
          </cell>
          <cell r="AI8">
            <v>71.5</v>
          </cell>
          <cell r="AJ8">
            <v>64.05</v>
          </cell>
          <cell r="AK8">
            <v>55.650000000000006</v>
          </cell>
          <cell r="AL8">
            <v>3.4499999999999997</v>
          </cell>
          <cell r="AM8">
            <v>33.6</v>
          </cell>
          <cell r="AN8">
            <v>50.45</v>
          </cell>
          <cell r="AO8">
            <v>84.05</v>
          </cell>
          <cell r="AP8">
            <v>3.4499999999999997</v>
          </cell>
          <cell r="AQ8">
            <v>3.4499999999999997</v>
          </cell>
          <cell r="AR8">
            <v>3.4499999999999997</v>
          </cell>
          <cell r="AS8">
            <v>3.4499999999999997</v>
          </cell>
          <cell r="AT8">
            <v>3.4499999999999997</v>
          </cell>
          <cell r="AU8">
            <v>3.4499999999999997</v>
          </cell>
          <cell r="AV8">
            <v>84.05</v>
          </cell>
          <cell r="AW8">
            <v>0.19600000000000001</v>
          </cell>
          <cell r="AX8">
            <v>0.19600000000000001</v>
          </cell>
          <cell r="AY8">
            <v>0.19600000000000001</v>
          </cell>
          <cell r="AZ8">
            <v>0.19600000000000001</v>
          </cell>
          <cell r="BA8">
            <v>0.19600000000000001</v>
          </cell>
          <cell r="BB8">
            <v>19.863750562144144</v>
          </cell>
          <cell r="BC8">
            <v>17.480100494686845</v>
          </cell>
          <cell r="BD8">
            <v>1.4158409953928535</v>
          </cell>
          <cell r="BE8">
            <v>0.89999999999999991</v>
          </cell>
          <cell r="BF8">
            <v>1.45</v>
          </cell>
          <cell r="BG8">
            <v>1.1000000000000001</v>
          </cell>
          <cell r="BH8">
            <v>1.85</v>
          </cell>
          <cell r="BI8">
            <v>1.7000000000000002</v>
          </cell>
          <cell r="BJ8">
            <v>75.650000000000006</v>
          </cell>
          <cell r="BK8">
            <v>63.05</v>
          </cell>
          <cell r="BL8">
            <v>50.45</v>
          </cell>
          <cell r="BM8">
            <v>3.55</v>
          </cell>
          <cell r="BN8">
            <v>0.28316819907857066</v>
          </cell>
          <cell r="BO8">
            <v>54.1</v>
          </cell>
          <cell r="BP8">
            <v>66.050000000000011</v>
          </cell>
          <cell r="BQ8">
            <v>70.349999999999994</v>
          </cell>
          <cell r="BR8">
            <v>73.05</v>
          </cell>
          <cell r="BS8">
            <v>73.600000000000009</v>
          </cell>
          <cell r="BT8">
            <v>70.349999999999994</v>
          </cell>
          <cell r="BU8">
            <v>69.3</v>
          </cell>
          <cell r="BV8">
            <v>70.349999999999994</v>
          </cell>
          <cell r="BW8">
            <v>76.849999999999994</v>
          </cell>
          <cell r="BX8">
            <v>74.7</v>
          </cell>
          <cell r="BY8">
            <v>67.099999999999994</v>
          </cell>
          <cell r="BZ8">
            <v>77.300000000000011</v>
          </cell>
          <cell r="CA8">
            <v>74.150000000000006</v>
          </cell>
          <cell r="CB8">
            <v>68.75</v>
          </cell>
          <cell r="CC8">
            <v>75.25</v>
          </cell>
          <cell r="CD8">
            <v>73.600000000000009</v>
          </cell>
          <cell r="CE8">
            <v>3.55</v>
          </cell>
          <cell r="CF8">
            <v>3.55</v>
          </cell>
          <cell r="CG8">
            <v>3.7</v>
          </cell>
          <cell r="CH8">
            <v>3.7</v>
          </cell>
          <cell r="CI8">
            <v>3.5</v>
          </cell>
          <cell r="CJ8">
            <v>5.9499999999999993</v>
          </cell>
          <cell r="CK8">
            <v>5.6499999999999995</v>
          </cell>
          <cell r="CL8">
            <v>2.7</v>
          </cell>
          <cell r="CM8">
            <v>9.75</v>
          </cell>
          <cell r="CN8">
            <v>3.55</v>
          </cell>
          <cell r="CO8">
            <v>1.6</v>
          </cell>
          <cell r="CP8">
            <v>238.15</v>
          </cell>
        </row>
        <row r="9">
          <cell r="A9">
            <v>6</v>
          </cell>
          <cell r="B9">
            <v>2022</v>
          </cell>
          <cell r="C9">
            <v>0.85</v>
          </cell>
          <cell r="D9">
            <v>1.05</v>
          </cell>
          <cell r="E9">
            <v>1.25</v>
          </cell>
          <cell r="F9">
            <v>0.02</v>
          </cell>
          <cell r="G9">
            <v>82.8</v>
          </cell>
          <cell r="H9">
            <v>97.4</v>
          </cell>
          <cell r="I9">
            <v>3.95</v>
          </cell>
          <cell r="J9">
            <v>4.6999999999999993</v>
          </cell>
          <cell r="K9">
            <v>92.25</v>
          </cell>
          <cell r="L9">
            <v>87.85</v>
          </cell>
          <cell r="M9">
            <v>77.350000000000009</v>
          </cell>
          <cell r="N9">
            <v>74.599999999999994</v>
          </cell>
          <cell r="O9">
            <v>70.149999999999991</v>
          </cell>
          <cell r="P9">
            <v>90.600000000000009</v>
          </cell>
          <cell r="Q9">
            <v>98.85</v>
          </cell>
          <cell r="R9">
            <v>76.8</v>
          </cell>
          <cell r="S9">
            <v>3.9000000000000004</v>
          </cell>
          <cell r="T9">
            <v>3.7</v>
          </cell>
          <cell r="U9">
            <v>3.35</v>
          </cell>
          <cell r="V9">
            <v>4.95</v>
          </cell>
          <cell r="W9">
            <v>11</v>
          </cell>
          <cell r="X9">
            <v>36.9</v>
          </cell>
          <cell r="Y9">
            <v>55.35</v>
          </cell>
          <cell r="Z9">
            <v>92.25</v>
          </cell>
          <cell r="AA9">
            <v>54.45</v>
          </cell>
          <cell r="AB9">
            <v>9.3500000000000014</v>
          </cell>
          <cell r="AC9">
            <v>31.349999999999998</v>
          </cell>
          <cell r="AD9">
            <v>47.05</v>
          </cell>
          <cell r="AE9">
            <v>78.400000000000006</v>
          </cell>
          <cell r="AF9">
            <v>46.3</v>
          </cell>
          <cell r="AG9">
            <v>97.4</v>
          </cell>
          <cell r="AH9">
            <v>83.5</v>
          </cell>
          <cell r="AI9">
            <v>79.45</v>
          </cell>
          <cell r="AJ9">
            <v>71.8</v>
          </cell>
          <cell r="AK9">
            <v>63.25</v>
          </cell>
          <cell r="AL9">
            <v>3.7</v>
          </cell>
          <cell r="AM9">
            <v>36.9</v>
          </cell>
          <cell r="AN9">
            <v>55.35</v>
          </cell>
          <cell r="AO9">
            <v>92.25</v>
          </cell>
          <cell r="AP9">
            <v>3.7</v>
          </cell>
          <cell r="AQ9">
            <v>3.7</v>
          </cell>
          <cell r="AR9">
            <v>3.7</v>
          </cell>
          <cell r="AS9">
            <v>3.7</v>
          </cell>
          <cell r="AT9">
            <v>3.7</v>
          </cell>
          <cell r="AU9">
            <v>3.7</v>
          </cell>
          <cell r="AV9">
            <v>92.25</v>
          </cell>
          <cell r="AW9">
            <v>0.19600000000000001</v>
          </cell>
          <cell r="AX9">
            <v>0.19600000000000001</v>
          </cell>
          <cell r="AY9">
            <v>0.19600000000000001</v>
          </cell>
          <cell r="AZ9">
            <v>0.19600000000000001</v>
          </cell>
          <cell r="BA9">
            <v>0.19600000000000001</v>
          </cell>
          <cell r="BB9">
            <v>19.863750562144144</v>
          </cell>
          <cell r="BC9">
            <v>17.480100494686845</v>
          </cell>
          <cell r="BD9">
            <v>1.4158409953928535</v>
          </cell>
          <cell r="BE9">
            <v>1</v>
          </cell>
          <cell r="BF9">
            <v>1.55</v>
          </cell>
          <cell r="BG9">
            <v>1.1500000000000001</v>
          </cell>
          <cell r="BH9">
            <v>2</v>
          </cell>
          <cell r="BI9">
            <v>1.75</v>
          </cell>
          <cell r="BJ9">
            <v>83.05</v>
          </cell>
          <cell r="BK9">
            <v>69.150000000000006</v>
          </cell>
          <cell r="BL9">
            <v>55.35</v>
          </cell>
          <cell r="BM9">
            <v>3.8</v>
          </cell>
          <cell r="BN9">
            <v>0.28316819907857066</v>
          </cell>
          <cell r="BO9">
            <v>55.199999999999996</v>
          </cell>
          <cell r="BP9">
            <v>72.849999999999994</v>
          </cell>
          <cell r="BQ9">
            <v>77.300000000000011</v>
          </cell>
          <cell r="BR9">
            <v>80.050000000000011</v>
          </cell>
          <cell r="BS9">
            <v>80.600000000000009</v>
          </cell>
          <cell r="BT9">
            <v>77.300000000000011</v>
          </cell>
          <cell r="BU9">
            <v>76.2</v>
          </cell>
          <cell r="BV9">
            <v>77.300000000000011</v>
          </cell>
          <cell r="BW9">
            <v>83.9</v>
          </cell>
          <cell r="BX9">
            <v>81.7</v>
          </cell>
          <cell r="BY9">
            <v>73.949999999999989</v>
          </cell>
          <cell r="BZ9">
            <v>84.350000000000009</v>
          </cell>
          <cell r="CA9">
            <v>81.150000000000006</v>
          </cell>
          <cell r="CB9">
            <v>75.650000000000006</v>
          </cell>
          <cell r="CC9">
            <v>82.25</v>
          </cell>
          <cell r="CD9">
            <v>80.600000000000009</v>
          </cell>
          <cell r="CE9">
            <v>3.75</v>
          </cell>
          <cell r="CF9">
            <v>3.75</v>
          </cell>
          <cell r="CG9">
            <v>3.85</v>
          </cell>
          <cell r="CH9">
            <v>3.85</v>
          </cell>
          <cell r="CI9">
            <v>3.7</v>
          </cell>
          <cell r="CJ9">
            <v>6.2</v>
          </cell>
          <cell r="CK9">
            <v>5.85</v>
          </cell>
          <cell r="CL9">
            <v>2.8499999999999996</v>
          </cell>
          <cell r="CM9">
            <v>10.049999999999999</v>
          </cell>
          <cell r="CN9">
            <v>3.7</v>
          </cell>
          <cell r="CO9">
            <v>1.6500000000000001</v>
          </cell>
          <cell r="CP9">
            <v>242.89999999999998</v>
          </cell>
        </row>
        <row r="10">
          <cell r="A10">
            <v>7</v>
          </cell>
          <cell r="B10">
            <v>2023</v>
          </cell>
          <cell r="C10">
            <v>0.85</v>
          </cell>
          <cell r="D10">
            <v>1.05</v>
          </cell>
          <cell r="E10">
            <v>1.25</v>
          </cell>
          <cell r="F10">
            <v>0.02</v>
          </cell>
          <cell r="G10">
            <v>84.45</v>
          </cell>
          <cell r="H10">
            <v>99.350000000000009</v>
          </cell>
          <cell r="I10">
            <v>4.2</v>
          </cell>
          <cell r="J10">
            <v>4.95</v>
          </cell>
          <cell r="K10">
            <v>94.1</v>
          </cell>
          <cell r="L10">
            <v>89.600000000000009</v>
          </cell>
          <cell r="M10">
            <v>78.899999999999991</v>
          </cell>
          <cell r="N10">
            <v>76.050000000000011</v>
          </cell>
          <cell r="O10">
            <v>71.55</v>
          </cell>
          <cell r="P10">
            <v>92.4</v>
          </cell>
          <cell r="Q10">
            <v>100.85000000000001</v>
          </cell>
          <cell r="R10">
            <v>78.3</v>
          </cell>
          <cell r="S10">
            <v>4.1499999999999995</v>
          </cell>
          <cell r="T10">
            <v>3.95</v>
          </cell>
          <cell r="U10">
            <v>3.5999999999999996</v>
          </cell>
          <cell r="V10">
            <v>5.25</v>
          </cell>
          <cell r="W10">
            <v>11.65</v>
          </cell>
          <cell r="X10">
            <v>37.599999999999994</v>
          </cell>
          <cell r="Y10">
            <v>56.5</v>
          </cell>
          <cell r="Z10">
            <v>94.1</v>
          </cell>
          <cell r="AA10">
            <v>55.5</v>
          </cell>
          <cell r="AB10">
            <v>9.9</v>
          </cell>
          <cell r="AC10">
            <v>31.95</v>
          </cell>
          <cell r="AD10">
            <v>48.05</v>
          </cell>
          <cell r="AE10">
            <v>80</v>
          </cell>
          <cell r="AF10">
            <v>47.199999999999996</v>
          </cell>
          <cell r="AG10">
            <v>99.350000000000009</v>
          </cell>
          <cell r="AH10">
            <v>85.199999999999989</v>
          </cell>
          <cell r="AI10">
            <v>81.050000000000011</v>
          </cell>
          <cell r="AJ10">
            <v>73.25</v>
          </cell>
          <cell r="AK10">
            <v>64.55</v>
          </cell>
          <cell r="AL10">
            <v>3.95</v>
          </cell>
          <cell r="AM10">
            <v>37.599999999999994</v>
          </cell>
          <cell r="AN10">
            <v>56.5</v>
          </cell>
          <cell r="AO10">
            <v>94.1</v>
          </cell>
          <cell r="AP10">
            <v>3.95</v>
          </cell>
          <cell r="AQ10">
            <v>3.95</v>
          </cell>
          <cell r="AR10">
            <v>3.95</v>
          </cell>
          <cell r="AS10">
            <v>3.95</v>
          </cell>
          <cell r="AT10">
            <v>3.95</v>
          </cell>
          <cell r="AU10">
            <v>3.95</v>
          </cell>
          <cell r="AV10">
            <v>94.1</v>
          </cell>
          <cell r="AW10">
            <v>0.19600000000000001</v>
          </cell>
          <cell r="AX10">
            <v>0.19600000000000001</v>
          </cell>
          <cell r="AY10">
            <v>0.19600000000000001</v>
          </cell>
          <cell r="AZ10">
            <v>0.19600000000000001</v>
          </cell>
          <cell r="BA10">
            <v>0.19600000000000001</v>
          </cell>
          <cell r="BB10">
            <v>19.863750562144144</v>
          </cell>
          <cell r="BC10">
            <v>17.480100494686845</v>
          </cell>
          <cell r="BD10">
            <v>1.4158409953928535</v>
          </cell>
          <cell r="BE10">
            <v>1.05</v>
          </cell>
          <cell r="BF10">
            <v>1.7000000000000002</v>
          </cell>
          <cell r="BG10">
            <v>1.25</v>
          </cell>
          <cell r="BH10">
            <v>2.1</v>
          </cell>
          <cell r="BI10">
            <v>1.85</v>
          </cell>
          <cell r="BJ10">
            <v>84.7</v>
          </cell>
          <cell r="BK10">
            <v>70.55</v>
          </cell>
          <cell r="BL10">
            <v>56.5</v>
          </cell>
          <cell r="BM10">
            <v>4.0500000000000007</v>
          </cell>
          <cell r="BN10">
            <v>0.28316819907857066</v>
          </cell>
          <cell r="BO10">
            <v>56.3</v>
          </cell>
          <cell r="BP10">
            <v>74.349999999999994</v>
          </cell>
          <cell r="BQ10">
            <v>78.849999999999994</v>
          </cell>
          <cell r="BR10">
            <v>81.649999999999991</v>
          </cell>
          <cell r="BS10">
            <v>82.2</v>
          </cell>
          <cell r="BT10">
            <v>78.849999999999994</v>
          </cell>
          <cell r="BU10">
            <v>77.699999999999989</v>
          </cell>
          <cell r="BV10">
            <v>78.849999999999994</v>
          </cell>
          <cell r="BW10">
            <v>85.600000000000009</v>
          </cell>
          <cell r="BX10">
            <v>83.350000000000009</v>
          </cell>
          <cell r="BY10">
            <v>75.45</v>
          </cell>
          <cell r="BZ10">
            <v>86.050000000000011</v>
          </cell>
          <cell r="CA10">
            <v>82.75</v>
          </cell>
          <cell r="CB10">
            <v>77.150000000000006</v>
          </cell>
          <cell r="CC10">
            <v>83.9</v>
          </cell>
          <cell r="CD10">
            <v>82.2</v>
          </cell>
          <cell r="CE10">
            <v>4</v>
          </cell>
          <cell r="CF10">
            <v>4</v>
          </cell>
          <cell r="CG10">
            <v>4.0999999999999996</v>
          </cell>
          <cell r="CH10">
            <v>4.0999999999999996</v>
          </cell>
          <cell r="CI10">
            <v>3.95</v>
          </cell>
          <cell r="CJ10">
            <v>6.5</v>
          </cell>
          <cell r="CK10">
            <v>6.15</v>
          </cell>
          <cell r="CL10">
            <v>3.1</v>
          </cell>
          <cell r="CM10">
            <v>10.4</v>
          </cell>
          <cell r="CN10">
            <v>3.9000000000000004</v>
          </cell>
          <cell r="CO10">
            <v>1.7000000000000002</v>
          </cell>
          <cell r="CP10">
            <v>247.75</v>
          </cell>
        </row>
        <row r="11">
          <cell r="A11">
            <v>8</v>
          </cell>
          <cell r="B11">
            <v>2024</v>
          </cell>
          <cell r="C11">
            <v>0.85</v>
          </cell>
          <cell r="D11">
            <v>1.05</v>
          </cell>
          <cell r="E11">
            <v>1.25</v>
          </cell>
          <cell r="F11">
            <v>0.02</v>
          </cell>
          <cell r="G11">
            <v>86.15</v>
          </cell>
          <cell r="H11">
            <v>101.35</v>
          </cell>
          <cell r="I11">
            <v>4.5</v>
          </cell>
          <cell r="J11">
            <v>5.3000000000000007</v>
          </cell>
          <cell r="K11">
            <v>95.95</v>
          </cell>
          <cell r="L11">
            <v>91.4</v>
          </cell>
          <cell r="M11">
            <v>80.45</v>
          </cell>
          <cell r="N11">
            <v>77.599999999999994</v>
          </cell>
          <cell r="O11">
            <v>73</v>
          </cell>
          <cell r="P11">
            <v>94.25</v>
          </cell>
          <cell r="Q11">
            <v>102.85</v>
          </cell>
          <cell r="R11">
            <v>79.900000000000006</v>
          </cell>
          <cell r="S11">
            <v>4.5</v>
          </cell>
          <cell r="T11">
            <v>4.25</v>
          </cell>
          <cell r="U11">
            <v>3.9000000000000004</v>
          </cell>
          <cell r="V11">
            <v>5.5500000000000007</v>
          </cell>
          <cell r="W11">
            <v>12.5</v>
          </cell>
          <cell r="X11">
            <v>38.35</v>
          </cell>
          <cell r="Y11">
            <v>57.599999999999994</v>
          </cell>
          <cell r="Z11">
            <v>95.95</v>
          </cell>
          <cell r="AA11">
            <v>56.65</v>
          </cell>
          <cell r="AB11">
            <v>10.649999999999999</v>
          </cell>
          <cell r="AC11">
            <v>32.599999999999994</v>
          </cell>
          <cell r="AD11">
            <v>48.949999999999996</v>
          </cell>
          <cell r="AE11">
            <v>81.55</v>
          </cell>
          <cell r="AF11">
            <v>48.150000000000006</v>
          </cell>
          <cell r="AG11">
            <v>101.35</v>
          </cell>
          <cell r="AH11">
            <v>86.899999999999991</v>
          </cell>
          <cell r="AI11">
            <v>82.65</v>
          </cell>
          <cell r="AJ11">
            <v>74.7</v>
          </cell>
          <cell r="AK11">
            <v>65.8</v>
          </cell>
          <cell r="AL11">
            <v>4.25</v>
          </cell>
          <cell r="AM11">
            <v>38.35</v>
          </cell>
          <cell r="AN11">
            <v>57.599999999999994</v>
          </cell>
          <cell r="AO11">
            <v>95.95</v>
          </cell>
          <cell r="AP11">
            <v>4.25</v>
          </cell>
          <cell r="AQ11">
            <v>4.25</v>
          </cell>
          <cell r="AR11">
            <v>4.25</v>
          </cell>
          <cell r="AS11">
            <v>4.25</v>
          </cell>
          <cell r="AT11">
            <v>4.25</v>
          </cell>
          <cell r="AU11">
            <v>4.25</v>
          </cell>
          <cell r="AV11">
            <v>95.95</v>
          </cell>
          <cell r="AW11">
            <v>0.19600000000000001</v>
          </cell>
          <cell r="AX11">
            <v>0.19600000000000001</v>
          </cell>
          <cell r="AY11">
            <v>0.19600000000000001</v>
          </cell>
          <cell r="AZ11">
            <v>0.19600000000000001</v>
          </cell>
          <cell r="BA11">
            <v>0.19600000000000001</v>
          </cell>
          <cell r="BB11">
            <v>19.863750562144144</v>
          </cell>
          <cell r="BC11">
            <v>17.480100494686845</v>
          </cell>
          <cell r="BD11">
            <v>1.4158409953928535</v>
          </cell>
          <cell r="BE11">
            <v>1.1500000000000001</v>
          </cell>
          <cell r="BF11">
            <v>1.7999999999999998</v>
          </cell>
          <cell r="BG11">
            <v>1.3</v>
          </cell>
          <cell r="BH11">
            <v>2.25</v>
          </cell>
          <cell r="BI11">
            <v>2</v>
          </cell>
          <cell r="BJ11">
            <v>86.4</v>
          </cell>
          <cell r="BK11">
            <v>71.95</v>
          </cell>
          <cell r="BL11">
            <v>57.599999999999994</v>
          </cell>
          <cell r="BM11">
            <v>4.3499999999999996</v>
          </cell>
          <cell r="BN11">
            <v>0.28316819907857066</v>
          </cell>
          <cell r="BO11">
            <v>57.45</v>
          </cell>
          <cell r="BP11">
            <v>75.8</v>
          </cell>
          <cell r="BQ11">
            <v>80.399999999999991</v>
          </cell>
          <cell r="BR11">
            <v>83.3</v>
          </cell>
          <cell r="BS11">
            <v>83.85</v>
          </cell>
          <cell r="BT11">
            <v>80.399999999999991</v>
          </cell>
          <cell r="BU11">
            <v>79.25</v>
          </cell>
          <cell r="BV11">
            <v>80.399999999999991</v>
          </cell>
          <cell r="BW11">
            <v>87.300000000000011</v>
          </cell>
          <cell r="BX11">
            <v>85</v>
          </cell>
          <cell r="BY11">
            <v>76.95</v>
          </cell>
          <cell r="BZ11">
            <v>87.75</v>
          </cell>
          <cell r="CA11">
            <v>84.45</v>
          </cell>
          <cell r="CB11">
            <v>78.7</v>
          </cell>
          <cell r="CC11">
            <v>85.600000000000009</v>
          </cell>
          <cell r="CD11">
            <v>83.85</v>
          </cell>
          <cell r="CE11">
            <v>4.25</v>
          </cell>
          <cell r="CF11">
            <v>4.25</v>
          </cell>
          <cell r="CG11">
            <v>4.3499999999999996</v>
          </cell>
          <cell r="CH11">
            <v>4.3499999999999996</v>
          </cell>
          <cell r="CI11">
            <v>4.2</v>
          </cell>
          <cell r="CJ11">
            <v>6.8000000000000007</v>
          </cell>
          <cell r="CK11">
            <v>6.45</v>
          </cell>
          <cell r="CL11">
            <v>3.35</v>
          </cell>
          <cell r="CM11">
            <v>10.8</v>
          </cell>
          <cell r="CN11">
            <v>4.1499999999999995</v>
          </cell>
          <cell r="CO11">
            <v>1.7000000000000002</v>
          </cell>
          <cell r="CP11">
            <v>252.7</v>
          </cell>
        </row>
        <row r="12">
          <cell r="A12">
            <v>9</v>
          </cell>
          <cell r="B12">
            <v>2025</v>
          </cell>
          <cell r="C12">
            <v>0.85</v>
          </cell>
          <cell r="D12">
            <v>1.05</v>
          </cell>
          <cell r="E12">
            <v>1.25</v>
          </cell>
          <cell r="F12">
            <v>0.02</v>
          </cell>
          <cell r="G12">
            <v>87.85</v>
          </cell>
          <cell r="H12">
            <v>103.4</v>
          </cell>
          <cell r="I12">
            <v>4.6999999999999993</v>
          </cell>
          <cell r="J12">
            <v>5.5</v>
          </cell>
          <cell r="K12">
            <v>97.899999999999991</v>
          </cell>
          <cell r="L12">
            <v>93.2</v>
          </cell>
          <cell r="M12">
            <v>82.05</v>
          </cell>
          <cell r="N12">
            <v>79.150000000000006</v>
          </cell>
          <cell r="O12">
            <v>74.45</v>
          </cell>
          <cell r="P12">
            <v>96.15</v>
          </cell>
          <cell r="Q12">
            <v>104.9</v>
          </cell>
          <cell r="R12">
            <v>81.5</v>
          </cell>
          <cell r="S12">
            <v>4.6999999999999993</v>
          </cell>
          <cell r="T12">
            <v>4.45</v>
          </cell>
          <cell r="U12">
            <v>4.0999999999999996</v>
          </cell>
          <cell r="V12">
            <v>5.8</v>
          </cell>
          <cell r="W12">
            <v>13.100000000000001</v>
          </cell>
          <cell r="X12">
            <v>39.15</v>
          </cell>
          <cell r="Y12">
            <v>58.75</v>
          </cell>
          <cell r="Z12">
            <v>97.899999999999991</v>
          </cell>
          <cell r="AA12">
            <v>57.75</v>
          </cell>
          <cell r="AB12">
            <v>11.15</v>
          </cell>
          <cell r="AC12">
            <v>33.299999999999997</v>
          </cell>
          <cell r="AD12">
            <v>49.95</v>
          </cell>
          <cell r="AE12">
            <v>83.2</v>
          </cell>
          <cell r="AF12">
            <v>49.1</v>
          </cell>
          <cell r="AG12">
            <v>103.4</v>
          </cell>
          <cell r="AH12">
            <v>88.65</v>
          </cell>
          <cell r="AI12">
            <v>84.3</v>
          </cell>
          <cell r="AJ12">
            <v>76.2</v>
          </cell>
          <cell r="AK12">
            <v>67.150000000000006</v>
          </cell>
          <cell r="AL12">
            <v>4.45</v>
          </cell>
          <cell r="AM12">
            <v>39.15</v>
          </cell>
          <cell r="AN12">
            <v>58.75</v>
          </cell>
          <cell r="AO12">
            <v>97.899999999999991</v>
          </cell>
          <cell r="AP12">
            <v>4.45</v>
          </cell>
          <cell r="AQ12">
            <v>4.45</v>
          </cell>
          <cell r="AR12">
            <v>4.45</v>
          </cell>
          <cell r="AS12">
            <v>4.45</v>
          </cell>
          <cell r="AT12">
            <v>4.45</v>
          </cell>
          <cell r="AU12">
            <v>4.45</v>
          </cell>
          <cell r="AV12">
            <v>97.899999999999991</v>
          </cell>
          <cell r="AW12">
            <v>0.19600000000000001</v>
          </cell>
          <cell r="AX12">
            <v>0.19600000000000001</v>
          </cell>
          <cell r="AY12">
            <v>0.19600000000000001</v>
          </cell>
          <cell r="AZ12">
            <v>0.19600000000000001</v>
          </cell>
          <cell r="BA12">
            <v>0.19600000000000001</v>
          </cell>
          <cell r="BB12">
            <v>19.863750562144144</v>
          </cell>
          <cell r="BC12">
            <v>17.480100494686845</v>
          </cell>
          <cell r="BD12">
            <v>1.4158409953928535</v>
          </cell>
          <cell r="BE12">
            <v>1.1500000000000001</v>
          </cell>
          <cell r="BF12">
            <v>1.85</v>
          </cell>
          <cell r="BG12">
            <v>1.4000000000000001</v>
          </cell>
          <cell r="BH12">
            <v>2.3499999999999996</v>
          </cell>
          <cell r="BI12">
            <v>2.1</v>
          </cell>
          <cell r="BJ12">
            <v>88.100000000000009</v>
          </cell>
          <cell r="BK12">
            <v>73.400000000000006</v>
          </cell>
          <cell r="BL12">
            <v>58.75</v>
          </cell>
          <cell r="BM12">
            <v>4.55</v>
          </cell>
          <cell r="BN12">
            <v>0.28316819907857066</v>
          </cell>
          <cell r="BO12">
            <v>58.6</v>
          </cell>
          <cell r="BP12">
            <v>77.350000000000009</v>
          </cell>
          <cell r="BQ12">
            <v>82</v>
          </cell>
          <cell r="BR12">
            <v>84.949999999999989</v>
          </cell>
          <cell r="BS12">
            <v>85.55</v>
          </cell>
          <cell r="BT12">
            <v>82</v>
          </cell>
          <cell r="BU12">
            <v>80.850000000000009</v>
          </cell>
          <cell r="BV12">
            <v>82</v>
          </cell>
          <cell r="BW12">
            <v>89.05</v>
          </cell>
          <cell r="BX12">
            <v>86.7</v>
          </cell>
          <cell r="BY12">
            <v>78.5</v>
          </cell>
          <cell r="BZ12">
            <v>89.5</v>
          </cell>
          <cell r="CA12">
            <v>86.1</v>
          </cell>
          <cell r="CB12">
            <v>80.25</v>
          </cell>
          <cell r="CC12">
            <v>87.300000000000011</v>
          </cell>
          <cell r="CD12">
            <v>85.55</v>
          </cell>
          <cell r="CE12">
            <v>4.45</v>
          </cell>
          <cell r="CF12">
            <v>4.45</v>
          </cell>
          <cell r="CG12">
            <v>4.55</v>
          </cell>
          <cell r="CH12">
            <v>4.55</v>
          </cell>
          <cell r="CI12">
            <v>4.4000000000000004</v>
          </cell>
          <cell r="CJ12">
            <v>7.05</v>
          </cell>
          <cell r="CK12">
            <v>6.7</v>
          </cell>
          <cell r="CL12">
            <v>3.5</v>
          </cell>
          <cell r="CM12">
            <v>11.15</v>
          </cell>
          <cell r="CN12">
            <v>4.4000000000000004</v>
          </cell>
          <cell r="CO12">
            <v>1.75</v>
          </cell>
          <cell r="CP12">
            <v>257.75</v>
          </cell>
        </row>
        <row r="13">
          <cell r="A13">
            <v>10</v>
          </cell>
          <cell r="B13">
            <v>2026</v>
          </cell>
          <cell r="C13">
            <v>0.85</v>
          </cell>
          <cell r="D13">
            <v>1.05</v>
          </cell>
          <cell r="E13">
            <v>1.25</v>
          </cell>
          <cell r="F13">
            <v>0.02</v>
          </cell>
          <cell r="G13">
            <v>89.65</v>
          </cell>
          <cell r="H13">
            <v>105.45</v>
          </cell>
          <cell r="I13">
            <v>4.8499999999999996</v>
          </cell>
          <cell r="J13">
            <v>5.6999999999999993</v>
          </cell>
          <cell r="K13">
            <v>99.85</v>
          </cell>
          <cell r="L13">
            <v>95.050000000000011</v>
          </cell>
          <cell r="M13">
            <v>83.699999999999989</v>
          </cell>
          <cell r="N13">
            <v>80.75</v>
          </cell>
          <cell r="O13">
            <v>75.95</v>
          </cell>
          <cell r="P13">
            <v>98.05</v>
          </cell>
          <cell r="Q13">
            <v>107</v>
          </cell>
          <cell r="R13">
            <v>83.100000000000009</v>
          </cell>
          <cell r="S13">
            <v>4.8499999999999996</v>
          </cell>
          <cell r="T13">
            <v>4.6000000000000005</v>
          </cell>
          <cell r="U13">
            <v>4.25</v>
          </cell>
          <cell r="V13">
            <v>6</v>
          </cell>
          <cell r="W13">
            <v>13.55</v>
          </cell>
          <cell r="X13">
            <v>39.900000000000006</v>
          </cell>
          <cell r="Y13">
            <v>59.95</v>
          </cell>
          <cell r="Z13">
            <v>99.85</v>
          </cell>
          <cell r="AA13">
            <v>58.9</v>
          </cell>
          <cell r="AB13">
            <v>11.5</v>
          </cell>
          <cell r="AC13">
            <v>33.9</v>
          </cell>
          <cell r="AD13">
            <v>50.949999999999996</v>
          </cell>
          <cell r="AE13">
            <v>84.85</v>
          </cell>
          <cell r="AF13">
            <v>50.05</v>
          </cell>
          <cell r="AG13">
            <v>105.45</v>
          </cell>
          <cell r="AH13">
            <v>90.399999999999991</v>
          </cell>
          <cell r="AI13">
            <v>86</v>
          </cell>
          <cell r="AJ13">
            <v>77.75</v>
          </cell>
          <cell r="AK13">
            <v>68.5</v>
          </cell>
          <cell r="AL13">
            <v>4.6000000000000005</v>
          </cell>
          <cell r="AM13">
            <v>39.900000000000006</v>
          </cell>
          <cell r="AN13">
            <v>59.95</v>
          </cell>
          <cell r="AO13">
            <v>99.85</v>
          </cell>
          <cell r="AP13">
            <v>4.6000000000000005</v>
          </cell>
          <cell r="AQ13">
            <v>4.6000000000000005</v>
          </cell>
          <cell r="AR13">
            <v>4.6000000000000005</v>
          </cell>
          <cell r="AS13">
            <v>4.6000000000000005</v>
          </cell>
          <cell r="AT13">
            <v>4.6000000000000005</v>
          </cell>
          <cell r="AU13">
            <v>4.6000000000000005</v>
          </cell>
          <cell r="AV13">
            <v>99.85</v>
          </cell>
          <cell r="AW13">
            <v>0.19600000000000001</v>
          </cell>
          <cell r="AX13">
            <v>0.19600000000000001</v>
          </cell>
          <cell r="AY13">
            <v>0.19600000000000001</v>
          </cell>
          <cell r="AZ13">
            <v>0.19600000000000001</v>
          </cell>
          <cell r="BA13">
            <v>0.19600000000000001</v>
          </cell>
          <cell r="BB13">
            <v>19.863750562144144</v>
          </cell>
          <cell r="BC13">
            <v>17.480100494686845</v>
          </cell>
          <cell r="BD13">
            <v>1.4158409953928535</v>
          </cell>
          <cell r="BE13">
            <v>1.2</v>
          </cell>
          <cell r="BF13">
            <v>1.9</v>
          </cell>
          <cell r="BG13">
            <v>1.45</v>
          </cell>
          <cell r="BH13">
            <v>2.4500000000000002</v>
          </cell>
          <cell r="BI13">
            <v>2.15</v>
          </cell>
          <cell r="BJ13">
            <v>89.85</v>
          </cell>
          <cell r="BK13">
            <v>74.850000000000009</v>
          </cell>
          <cell r="BL13">
            <v>59.95</v>
          </cell>
          <cell r="BM13">
            <v>4.6999999999999993</v>
          </cell>
          <cell r="BN13">
            <v>0.28316819907857066</v>
          </cell>
          <cell r="BO13">
            <v>59.75</v>
          </cell>
          <cell r="BP13">
            <v>78.899999999999991</v>
          </cell>
          <cell r="BQ13">
            <v>83.65</v>
          </cell>
          <cell r="BR13">
            <v>86.649999999999991</v>
          </cell>
          <cell r="BS13">
            <v>87.25</v>
          </cell>
          <cell r="BT13">
            <v>83.65</v>
          </cell>
          <cell r="BU13">
            <v>82.449999999999989</v>
          </cell>
          <cell r="BV13">
            <v>83.65</v>
          </cell>
          <cell r="BW13">
            <v>90.850000000000009</v>
          </cell>
          <cell r="BX13">
            <v>88.45</v>
          </cell>
          <cell r="BY13">
            <v>80.050000000000011</v>
          </cell>
          <cell r="BZ13">
            <v>91.300000000000011</v>
          </cell>
          <cell r="CA13">
            <v>87.85</v>
          </cell>
          <cell r="CB13">
            <v>81.850000000000009</v>
          </cell>
          <cell r="CC13">
            <v>89.05</v>
          </cell>
          <cell r="CD13">
            <v>87.25</v>
          </cell>
          <cell r="CE13">
            <v>4.6000000000000005</v>
          </cell>
          <cell r="CF13">
            <v>4.6000000000000005</v>
          </cell>
          <cell r="CG13">
            <v>4.6999999999999993</v>
          </cell>
          <cell r="CH13">
            <v>4.6999999999999993</v>
          </cell>
          <cell r="CI13">
            <v>4.55</v>
          </cell>
          <cell r="CJ13">
            <v>7.25</v>
          </cell>
          <cell r="CK13">
            <v>6.8500000000000005</v>
          </cell>
          <cell r="CL13">
            <v>3.65</v>
          </cell>
          <cell r="CM13">
            <v>11.399999999999999</v>
          </cell>
          <cell r="CN13">
            <v>4.6000000000000005</v>
          </cell>
          <cell r="CO13">
            <v>1.7999999999999998</v>
          </cell>
          <cell r="CP13">
            <v>262.89999999999998</v>
          </cell>
        </row>
        <row r="14">
          <cell r="A14">
            <v>11</v>
          </cell>
          <cell r="B14">
            <v>2027</v>
          </cell>
          <cell r="C14">
            <v>0.85</v>
          </cell>
          <cell r="D14">
            <v>1.05</v>
          </cell>
          <cell r="E14">
            <v>1.25</v>
          </cell>
          <cell r="F14">
            <v>0.02</v>
          </cell>
          <cell r="G14">
            <v>91.4</v>
          </cell>
          <cell r="H14">
            <v>107.55000000000001</v>
          </cell>
          <cell r="I14">
            <v>5</v>
          </cell>
          <cell r="J14">
            <v>5.85</v>
          </cell>
          <cell r="K14">
            <v>101.85000000000001</v>
          </cell>
          <cell r="L14">
            <v>96.95</v>
          </cell>
          <cell r="M14">
            <v>85.399999999999991</v>
          </cell>
          <cell r="N14">
            <v>82.35</v>
          </cell>
          <cell r="O14">
            <v>77.45</v>
          </cell>
          <cell r="P14">
            <v>100</v>
          </cell>
          <cell r="Q14">
            <v>109.14999999999999</v>
          </cell>
          <cell r="R14">
            <v>84.800000000000011</v>
          </cell>
          <cell r="S14">
            <v>5</v>
          </cell>
          <cell r="T14">
            <v>4.75</v>
          </cell>
          <cell r="U14">
            <v>4.4000000000000004</v>
          </cell>
          <cell r="V14">
            <v>6.15</v>
          </cell>
          <cell r="W14">
            <v>14</v>
          </cell>
          <cell r="X14">
            <v>40.700000000000003</v>
          </cell>
          <cell r="Y14">
            <v>61.150000000000006</v>
          </cell>
          <cell r="Z14">
            <v>101.85000000000001</v>
          </cell>
          <cell r="AA14">
            <v>60.099999999999994</v>
          </cell>
          <cell r="AB14">
            <v>11.899999999999999</v>
          </cell>
          <cell r="AC14">
            <v>34.6</v>
          </cell>
          <cell r="AD14">
            <v>52</v>
          </cell>
          <cell r="AE14">
            <v>86.55</v>
          </cell>
          <cell r="AF14">
            <v>51.1</v>
          </cell>
          <cell r="AG14">
            <v>107.55000000000001</v>
          </cell>
          <cell r="AH14">
            <v>92.2</v>
          </cell>
          <cell r="AI14">
            <v>87.699999999999989</v>
          </cell>
          <cell r="AJ14">
            <v>79.3</v>
          </cell>
          <cell r="AK14">
            <v>69.850000000000009</v>
          </cell>
          <cell r="AL14">
            <v>4.75</v>
          </cell>
          <cell r="AM14">
            <v>40.700000000000003</v>
          </cell>
          <cell r="AN14">
            <v>61.150000000000006</v>
          </cell>
          <cell r="AO14">
            <v>101.85000000000001</v>
          </cell>
          <cell r="AP14">
            <v>4.75</v>
          </cell>
          <cell r="AQ14">
            <v>4.75</v>
          </cell>
          <cell r="AR14">
            <v>4.75</v>
          </cell>
          <cell r="AS14">
            <v>4.75</v>
          </cell>
          <cell r="AT14">
            <v>4.75</v>
          </cell>
          <cell r="AU14">
            <v>4.75</v>
          </cell>
          <cell r="AV14">
            <v>101.85000000000001</v>
          </cell>
          <cell r="AW14">
            <v>0.19600000000000001</v>
          </cell>
          <cell r="AX14">
            <v>0.19600000000000001</v>
          </cell>
          <cell r="AY14">
            <v>0.19600000000000001</v>
          </cell>
          <cell r="AZ14">
            <v>0.19600000000000001</v>
          </cell>
          <cell r="BA14">
            <v>0.19600000000000001</v>
          </cell>
          <cell r="BB14">
            <v>19.863750562144144</v>
          </cell>
          <cell r="BC14">
            <v>17.480100494686845</v>
          </cell>
          <cell r="BD14">
            <v>1.4158409953928535</v>
          </cell>
          <cell r="BE14">
            <v>1.3</v>
          </cell>
          <cell r="BF14">
            <v>2</v>
          </cell>
          <cell r="BG14">
            <v>1.5</v>
          </cell>
          <cell r="BH14">
            <v>2.5</v>
          </cell>
          <cell r="BI14">
            <v>2.25</v>
          </cell>
          <cell r="BJ14">
            <v>91.649999999999991</v>
          </cell>
          <cell r="BK14">
            <v>76.349999999999994</v>
          </cell>
          <cell r="BL14">
            <v>61.150000000000006</v>
          </cell>
          <cell r="BM14">
            <v>4.9000000000000004</v>
          </cell>
          <cell r="BN14">
            <v>0.28316819907857066</v>
          </cell>
          <cell r="BO14">
            <v>60.949999999999996</v>
          </cell>
          <cell r="BP14">
            <v>80.45</v>
          </cell>
          <cell r="BQ14">
            <v>85.35</v>
          </cell>
          <cell r="BR14">
            <v>88.4</v>
          </cell>
          <cell r="BS14">
            <v>89</v>
          </cell>
          <cell r="BT14">
            <v>85.35</v>
          </cell>
          <cell r="BU14">
            <v>84.1</v>
          </cell>
          <cell r="BV14">
            <v>85.35</v>
          </cell>
          <cell r="BW14">
            <v>92.65</v>
          </cell>
          <cell r="BX14">
            <v>90.199999999999989</v>
          </cell>
          <cell r="BY14">
            <v>81.649999999999991</v>
          </cell>
          <cell r="BZ14">
            <v>93.149999999999991</v>
          </cell>
          <cell r="CA14">
            <v>89.600000000000009</v>
          </cell>
          <cell r="CB14">
            <v>83.5</v>
          </cell>
          <cell r="CC14">
            <v>90.8</v>
          </cell>
          <cell r="CD14">
            <v>89</v>
          </cell>
          <cell r="CE14">
            <v>4.75</v>
          </cell>
          <cell r="CF14">
            <v>4.75</v>
          </cell>
          <cell r="CG14">
            <v>4.9000000000000004</v>
          </cell>
          <cell r="CH14">
            <v>4.9000000000000004</v>
          </cell>
          <cell r="CI14">
            <v>4.6999999999999993</v>
          </cell>
          <cell r="CJ14">
            <v>7.45</v>
          </cell>
          <cell r="CK14">
            <v>7.05</v>
          </cell>
          <cell r="CL14">
            <v>3.8</v>
          </cell>
          <cell r="CM14">
            <v>11.7</v>
          </cell>
          <cell r="CN14">
            <v>4.75</v>
          </cell>
          <cell r="CO14">
            <v>1.85</v>
          </cell>
          <cell r="CP14">
            <v>268.2</v>
          </cell>
        </row>
        <row r="15">
          <cell r="A15">
            <v>12</v>
          </cell>
          <cell r="B15">
            <v>2028</v>
          </cell>
          <cell r="C15">
            <v>0.85</v>
          </cell>
          <cell r="D15">
            <v>1.05</v>
          </cell>
          <cell r="E15">
            <v>1.25</v>
          </cell>
          <cell r="F15">
            <v>0.02</v>
          </cell>
          <cell r="G15">
            <v>93.25</v>
          </cell>
          <cell r="H15">
            <v>109.7</v>
          </cell>
          <cell r="I15">
            <v>5.0999999999999996</v>
          </cell>
          <cell r="J15">
            <v>5.9499999999999993</v>
          </cell>
          <cell r="K15">
            <v>103.9</v>
          </cell>
          <cell r="L15">
            <v>98.9</v>
          </cell>
          <cell r="M15">
            <v>87.100000000000009</v>
          </cell>
          <cell r="N15">
            <v>84</v>
          </cell>
          <cell r="O15">
            <v>79</v>
          </cell>
          <cell r="P15">
            <v>102</v>
          </cell>
          <cell r="Q15">
            <v>111.35</v>
          </cell>
          <cell r="R15">
            <v>86.5</v>
          </cell>
          <cell r="S15">
            <v>5.0999999999999996</v>
          </cell>
          <cell r="T15">
            <v>4.8499999999999996</v>
          </cell>
          <cell r="U15">
            <v>4.5</v>
          </cell>
          <cell r="V15">
            <v>6.3</v>
          </cell>
          <cell r="W15">
            <v>14.299999999999999</v>
          </cell>
          <cell r="X15">
            <v>41.550000000000004</v>
          </cell>
          <cell r="Y15">
            <v>62.35</v>
          </cell>
          <cell r="Z15">
            <v>103.9</v>
          </cell>
          <cell r="AA15">
            <v>61.3</v>
          </cell>
          <cell r="AB15">
            <v>12.15</v>
          </cell>
          <cell r="AC15">
            <v>35.299999999999997</v>
          </cell>
          <cell r="AD15">
            <v>53</v>
          </cell>
          <cell r="AE15">
            <v>88.3</v>
          </cell>
          <cell r="AF15">
            <v>52.1</v>
          </cell>
          <cell r="AG15">
            <v>109.7</v>
          </cell>
          <cell r="AH15">
            <v>94.05</v>
          </cell>
          <cell r="AI15">
            <v>89.45</v>
          </cell>
          <cell r="AJ15">
            <v>80.900000000000006</v>
          </cell>
          <cell r="AK15">
            <v>71.25</v>
          </cell>
          <cell r="AL15">
            <v>4.8499999999999996</v>
          </cell>
          <cell r="AM15">
            <v>41.550000000000004</v>
          </cell>
          <cell r="AN15">
            <v>62.35</v>
          </cell>
          <cell r="AO15">
            <v>103.9</v>
          </cell>
          <cell r="AP15">
            <v>4.8499999999999996</v>
          </cell>
          <cell r="AQ15">
            <v>4.8499999999999996</v>
          </cell>
          <cell r="AR15">
            <v>4.8499999999999996</v>
          </cell>
          <cell r="AS15">
            <v>4.8499999999999996</v>
          </cell>
          <cell r="AT15">
            <v>4.8499999999999996</v>
          </cell>
          <cell r="AU15">
            <v>4.8499999999999996</v>
          </cell>
          <cell r="AV15">
            <v>103.9</v>
          </cell>
          <cell r="AW15">
            <v>0.19600000000000001</v>
          </cell>
          <cell r="AX15">
            <v>0.19600000000000001</v>
          </cell>
          <cell r="AY15">
            <v>0.19600000000000001</v>
          </cell>
          <cell r="AZ15">
            <v>0.19600000000000001</v>
          </cell>
          <cell r="BA15">
            <v>0.19600000000000001</v>
          </cell>
          <cell r="BB15">
            <v>19.863750562144144</v>
          </cell>
          <cell r="BC15">
            <v>17.480100494686845</v>
          </cell>
          <cell r="BD15">
            <v>1.4158409953928535</v>
          </cell>
          <cell r="BE15">
            <v>1.3</v>
          </cell>
          <cell r="BF15">
            <v>2.0499999999999998</v>
          </cell>
          <cell r="BG15">
            <v>1.55</v>
          </cell>
          <cell r="BH15">
            <v>2.5499999999999998</v>
          </cell>
          <cell r="BI15">
            <v>2.3000000000000003</v>
          </cell>
          <cell r="BJ15">
            <v>93.5</v>
          </cell>
          <cell r="BK15">
            <v>77.900000000000006</v>
          </cell>
          <cell r="BL15">
            <v>62.35</v>
          </cell>
          <cell r="BM15">
            <v>4.95</v>
          </cell>
          <cell r="BN15">
            <v>0.28316819907857066</v>
          </cell>
          <cell r="BO15">
            <v>62.15</v>
          </cell>
          <cell r="BP15">
            <v>82.05</v>
          </cell>
          <cell r="BQ15">
            <v>87.05</v>
          </cell>
          <cell r="BR15">
            <v>90.15</v>
          </cell>
          <cell r="BS15">
            <v>90.75</v>
          </cell>
          <cell r="BT15">
            <v>87.05</v>
          </cell>
          <cell r="BU15">
            <v>85.8</v>
          </cell>
          <cell r="BV15">
            <v>87.05</v>
          </cell>
          <cell r="BW15">
            <v>94.5</v>
          </cell>
          <cell r="BX15">
            <v>92</v>
          </cell>
          <cell r="BY15">
            <v>83.3</v>
          </cell>
          <cell r="BZ15">
            <v>95</v>
          </cell>
          <cell r="CA15">
            <v>91.4</v>
          </cell>
          <cell r="CB15">
            <v>85.15</v>
          </cell>
          <cell r="CC15">
            <v>92.65</v>
          </cell>
          <cell r="CD15">
            <v>90.75</v>
          </cell>
          <cell r="CE15">
            <v>4.8499999999999996</v>
          </cell>
          <cell r="CF15">
            <v>4.8499999999999996</v>
          </cell>
          <cell r="CG15">
            <v>4.95</v>
          </cell>
          <cell r="CH15">
            <v>4.95</v>
          </cell>
          <cell r="CI15">
            <v>4.8</v>
          </cell>
          <cell r="CJ15">
            <v>7.6</v>
          </cell>
          <cell r="CK15">
            <v>7.1999999999999993</v>
          </cell>
          <cell r="CL15">
            <v>3.85</v>
          </cell>
          <cell r="CM15">
            <v>11.950000000000001</v>
          </cell>
          <cell r="CN15">
            <v>4.9000000000000004</v>
          </cell>
          <cell r="CO15">
            <v>1.85</v>
          </cell>
          <cell r="CP15">
            <v>273.55</v>
          </cell>
        </row>
        <row r="16">
          <cell r="A16">
            <v>13</v>
          </cell>
          <cell r="B16">
            <v>2029</v>
          </cell>
          <cell r="C16">
            <v>0.85</v>
          </cell>
          <cell r="D16">
            <v>1.05</v>
          </cell>
          <cell r="E16">
            <v>1.25</v>
          </cell>
          <cell r="F16">
            <v>0.02</v>
          </cell>
          <cell r="G16">
            <v>95.1</v>
          </cell>
          <cell r="H16">
            <v>111.89999999999999</v>
          </cell>
          <cell r="I16">
            <v>5.2</v>
          </cell>
          <cell r="J16">
            <v>6.1</v>
          </cell>
          <cell r="K16">
            <v>105.95</v>
          </cell>
          <cell r="L16">
            <v>100.9</v>
          </cell>
          <cell r="M16">
            <v>88.85</v>
          </cell>
          <cell r="N16">
            <v>85.649999999999991</v>
          </cell>
          <cell r="O16">
            <v>80.600000000000009</v>
          </cell>
          <cell r="P16">
            <v>104.05</v>
          </cell>
          <cell r="Q16">
            <v>113.55000000000001</v>
          </cell>
          <cell r="R16">
            <v>88.2</v>
          </cell>
          <cell r="S16">
            <v>5.2</v>
          </cell>
          <cell r="T16">
            <v>4.95</v>
          </cell>
          <cell r="U16">
            <v>4.55</v>
          </cell>
          <cell r="V16">
            <v>6.4</v>
          </cell>
          <cell r="W16">
            <v>14.6</v>
          </cell>
          <cell r="X16">
            <v>42.35</v>
          </cell>
          <cell r="Y16">
            <v>63.6</v>
          </cell>
          <cell r="Z16">
            <v>105.95</v>
          </cell>
          <cell r="AA16">
            <v>62.5</v>
          </cell>
          <cell r="AB16">
            <v>12.4</v>
          </cell>
          <cell r="AC16">
            <v>36</v>
          </cell>
          <cell r="AD16">
            <v>54.050000000000004</v>
          </cell>
          <cell r="AE16">
            <v>90.050000000000011</v>
          </cell>
          <cell r="AF16">
            <v>53.150000000000006</v>
          </cell>
          <cell r="AG16">
            <v>111.89999999999999</v>
          </cell>
          <cell r="AH16">
            <v>95.95</v>
          </cell>
          <cell r="AI16">
            <v>91.25</v>
          </cell>
          <cell r="AJ16">
            <v>82.5</v>
          </cell>
          <cell r="AK16">
            <v>72.649999999999991</v>
          </cell>
          <cell r="AL16">
            <v>4.95</v>
          </cell>
          <cell r="AM16">
            <v>42.35</v>
          </cell>
          <cell r="AN16">
            <v>63.6</v>
          </cell>
          <cell r="AO16">
            <v>105.95</v>
          </cell>
          <cell r="AP16">
            <v>4.95</v>
          </cell>
          <cell r="AQ16">
            <v>4.95</v>
          </cell>
          <cell r="AR16">
            <v>4.95</v>
          </cell>
          <cell r="AS16">
            <v>4.95</v>
          </cell>
          <cell r="AT16">
            <v>4.95</v>
          </cell>
          <cell r="AU16">
            <v>4.95</v>
          </cell>
          <cell r="AV16">
            <v>105.95</v>
          </cell>
          <cell r="AW16">
            <v>0.19600000000000001</v>
          </cell>
          <cell r="AX16">
            <v>0.19600000000000001</v>
          </cell>
          <cell r="AY16">
            <v>0.19600000000000001</v>
          </cell>
          <cell r="AZ16">
            <v>0.19600000000000001</v>
          </cell>
          <cell r="BA16">
            <v>0.19600000000000001</v>
          </cell>
          <cell r="BB16">
            <v>19.863750562144144</v>
          </cell>
          <cell r="BC16">
            <v>17.480100494686845</v>
          </cell>
          <cell r="BD16">
            <v>1.4158409953928535</v>
          </cell>
          <cell r="BE16">
            <v>1.35</v>
          </cell>
          <cell r="BF16">
            <v>2.1</v>
          </cell>
          <cell r="BG16">
            <v>1.6</v>
          </cell>
          <cell r="BH16">
            <v>2.6</v>
          </cell>
          <cell r="BI16">
            <v>2.3499999999999996</v>
          </cell>
          <cell r="BJ16">
            <v>95.35</v>
          </cell>
          <cell r="BK16">
            <v>79.45</v>
          </cell>
          <cell r="BL16">
            <v>63.6</v>
          </cell>
          <cell r="BM16">
            <v>5.05</v>
          </cell>
          <cell r="BN16">
            <v>0.28316819907857066</v>
          </cell>
          <cell r="BO16">
            <v>63.4</v>
          </cell>
          <cell r="BP16">
            <v>83.699999999999989</v>
          </cell>
          <cell r="BQ16">
            <v>88.800000000000011</v>
          </cell>
          <cell r="BR16">
            <v>91.95</v>
          </cell>
          <cell r="BS16">
            <v>92.6</v>
          </cell>
          <cell r="BT16">
            <v>88.800000000000011</v>
          </cell>
          <cell r="BU16">
            <v>87.5</v>
          </cell>
          <cell r="BV16">
            <v>88.800000000000011</v>
          </cell>
          <cell r="BW16">
            <v>96.4</v>
          </cell>
          <cell r="BX16">
            <v>93.85</v>
          </cell>
          <cell r="BY16">
            <v>84.949999999999989</v>
          </cell>
          <cell r="BZ16">
            <v>96.899999999999991</v>
          </cell>
          <cell r="CA16">
            <v>93.2</v>
          </cell>
          <cell r="CB16">
            <v>86.850000000000009</v>
          </cell>
          <cell r="CC16">
            <v>94.5</v>
          </cell>
          <cell r="CD16">
            <v>92.6</v>
          </cell>
          <cell r="CE16">
            <v>4.95</v>
          </cell>
          <cell r="CF16">
            <v>4.95</v>
          </cell>
          <cell r="CG16">
            <v>5.05</v>
          </cell>
          <cell r="CH16">
            <v>5.05</v>
          </cell>
          <cell r="CI16">
            <v>4.9000000000000004</v>
          </cell>
          <cell r="CJ16">
            <v>7.75</v>
          </cell>
          <cell r="CK16">
            <v>7.35</v>
          </cell>
          <cell r="CL16">
            <v>3.95</v>
          </cell>
          <cell r="CM16">
            <v>12.2</v>
          </cell>
          <cell r="CN16">
            <v>5</v>
          </cell>
          <cell r="CO16">
            <v>1.9</v>
          </cell>
          <cell r="CP16">
            <v>279</v>
          </cell>
        </row>
        <row r="17">
          <cell r="A17">
            <v>14</v>
          </cell>
          <cell r="B17">
            <v>2030</v>
          </cell>
          <cell r="C17">
            <v>0.85</v>
          </cell>
          <cell r="D17">
            <v>1.05</v>
          </cell>
          <cell r="E17">
            <v>1.25</v>
          </cell>
          <cell r="F17">
            <v>0.02</v>
          </cell>
          <cell r="G17">
            <v>97</v>
          </cell>
          <cell r="H17">
            <v>114.14999999999999</v>
          </cell>
          <cell r="I17">
            <v>5.3000000000000007</v>
          </cell>
          <cell r="J17">
            <v>6.2</v>
          </cell>
          <cell r="K17">
            <v>108.10000000000001</v>
          </cell>
          <cell r="L17">
            <v>102.89999999999999</v>
          </cell>
          <cell r="M17">
            <v>90.600000000000009</v>
          </cell>
          <cell r="N17">
            <v>87.4</v>
          </cell>
          <cell r="O17">
            <v>82.2</v>
          </cell>
          <cell r="P17">
            <v>106.15</v>
          </cell>
          <cell r="Q17">
            <v>115.85000000000001</v>
          </cell>
          <cell r="R17">
            <v>89.949999999999989</v>
          </cell>
          <cell r="S17">
            <v>5.3000000000000007</v>
          </cell>
          <cell r="T17">
            <v>5.05</v>
          </cell>
          <cell r="U17">
            <v>4.6500000000000004</v>
          </cell>
          <cell r="V17">
            <v>6.5500000000000007</v>
          </cell>
          <cell r="W17">
            <v>14.9</v>
          </cell>
          <cell r="X17">
            <v>43.2</v>
          </cell>
          <cell r="Y17">
            <v>64.850000000000009</v>
          </cell>
          <cell r="Z17">
            <v>108.10000000000001</v>
          </cell>
          <cell r="AA17">
            <v>63.75</v>
          </cell>
          <cell r="AB17">
            <v>12.649999999999999</v>
          </cell>
          <cell r="AC17">
            <v>36.700000000000003</v>
          </cell>
          <cell r="AD17">
            <v>55.099999999999994</v>
          </cell>
          <cell r="AE17">
            <v>91.899999999999991</v>
          </cell>
          <cell r="AF17">
            <v>54.2</v>
          </cell>
          <cell r="AG17">
            <v>114.14999999999999</v>
          </cell>
          <cell r="AH17">
            <v>97.85</v>
          </cell>
          <cell r="AI17">
            <v>93.05</v>
          </cell>
          <cell r="AJ17">
            <v>84.149999999999991</v>
          </cell>
          <cell r="AK17">
            <v>74.099999999999994</v>
          </cell>
          <cell r="AL17">
            <v>5.05</v>
          </cell>
          <cell r="AM17">
            <v>43.2</v>
          </cell>
          <cell r="AN17">
            <v>64.850000000000009</v>
          </cell>
          <cell r="AO17">
            <v>108.10000000000001</v>
          </cell>
          <cell r="AP17">
            <v>5.05</v>
          </cell>
          <cell r="AQ17">
            <v>5.05</v>
          </cell>
          <cell r="AR17">
            <v>5.05</v>
          </cell>
          <cell r="AS17">
            <v>5.05</v>
          </cell>
          <cell r="AT17">
            <v>5.05</v>
          </cell>
          <cell r="AU17">
            <v>5.05</v>
          </cell>
          <cell r="AV17">
            <v>108.10000000000001</v>
          </cell>
          <cell r="AW17">
            <v>0.19600000000000001</v>
          </cell>
          <cell r="AX17">
            <v>0.19600000000000001</v>
          </cell>
          <cell r="AY17">
            <v>0.19600000000000001</v>
          </cell>
          <cell r="AZ17">
            <v>0.19600000000000001</v>
          </cell>
          <cell r="BA17">
            <v>0.19600000000000001</v>
          </cell>
          <cell r="BB17">
            <v>19.863750562144144</v>
          </cell>
          <cell r="BC17">
            <v>17.480100494686845</v>
          </cell>
          <cell r="BD17">
            <v>1.4158409953928535</v>
          </cell>
          <cell r="BE17">
            <v>1.35</v>
          </cell>
          <cell r="BF17">
            <v>2.15</v>
          </cell>
          <cell r="BG17">
            <v>1.6</v>
          </cell>
          <cell r="BH17">
            <v>2.6500000000000004</v>
          </cell>
          <cell r="BI17">
            <v>2.4</v>
          </cell>
          <cell r="BJ17">
            <v>97.300000000000011</v>
          </cell>
          <cell r="BK17">
            <v>81.050000000000011</v>
          </cell>
          <cell r="BL17">
            <v>64.850000000000009</v>
          </cell>
          <cell r="BM17">
            <v>5.15</v>
          </cell>
          <cell r="BN17">
            <v>0.28316819907857066</v>
          </cell>
          <cell r="BO17">
            <v>64.7</v>
          </cell>
          <cell r="BP17">
            <v>85.399999999999991</v>
          </cell>
          <cell r="BQ17">
            <v>90.55</v>
          </cell>
          <cell r="BR17">
            <v>93.800000000000011</v>
          </cell>
          <cell r="BS17">
            <v>94.45</v>
          </cell>
          <cell r="BT17">
            <v>90.55</v>
          </cell>
          <cell r="BU17">
            <v>89.25</v>
          </cell>
          <cell r="BV17">
            <v>90.55</v>
          </cell>
          <cell r="BW17">
            <v>98.3</v>
          </cell>
          <cell r="BX17">
            <v>95.75</v>
          </cell>
          <cell r="BY17">
            <v>86.649999999999991</v>
          </cell>
          <cell r="BZ17">
            <v>98.85</v>
          </cell>
          <cell r="CA17">
            <v>95.1</v>
          </cell>
          <cell r="CB17">
            <v>88.6</v>
          </cell>
          <cell r="CC17">
            <v>96.35</v>
          </cell>
          <cell r="CD17">
            <v>94.45</v>
          </cell>
          <cell r="CE17">
            <v>5.05</v>
          </cell>
          <cell r="CF17">
            <v>5.05</v>
          </cell>
          <cell r="CG17">
            <v>5.15</v>
          </cell>
          <cell r="CH17">
            <v>5.15</v>
          </cell>
          <cell r="CI17">
            <v>5</v>
          </cell>
          <cell r="CJ17">
            <v>7.9</v>
          </cell>
          <cell r="CK17">
            <v>7.5</v>
          </cell>
          <cell r="CL17">
            <v>4</v>
          </cell>
          <cell r="CM17">
            <v>12.4</v>
          </cell>
          <cell r="CN17">
            <v>5.0999999999999996</v>
          </cell>
          <cell r="CO17">
            <v>1.9500000000000002</v>
          </cell>
          <cell r="CP17">
            <v>284.60000000000002</v>
          </cell>
        </row>
        <row r="18">
          <cell r="A18">
            <v>15</v>
          </cell>
          <cell r="B18">
            <v>2031</v>
          </cell>
          <cell r="C18">
            <v>0.85</v>
          </cell>
          <cell r="D18">
            <v>1.05</v>
          </cell>
          <cell r="E18">
            <v>1.25</v>
          </cell>
          <cell r="F18">
            <v>0.02</v>
          </cell>
          <cell r="G18">
            <v>98.949999999999989</v>
          </cell>
          <cell r="H18">
            <v>116.4</v>
          </cell>
          <cell r="I18">
            <v>5.4</v>
          </cell>
          <cell r="J18">
            <v>6.35</v>
          </cell>
          <cell r="K18">
            <v>110.25</v>
          </cell>
          <cell r="L18">
            <v>104.94999999999999</v>
          </cell>
          <cell r="M18">
            <v>92.449999999999989</v>
          </cell>
          <cell r="N18">
            <v>89.149999999999991</v>
          </cell>
          <cell r="O18">
            <v>83.85</v>
          </cell>
          <cell r="P18">
            <v>108.25</v>
          </cell>
          <cell r="Q18">
            <v>118.14999999999999</v>
          </cell>
          <cell r="R18">
            <v>91.75</v>
          </cell>
          <cell r="S18">
            <v>5.4</v>
          </cell>
          <cell r="T18">
            <v>5.15</v>
          </cell>
          <cell r="U18">
            <v>4.75</v>
          </cell>
          <cell r="V18">
            <v>6.65</v>
          </cell>
          <cell r="W18">
            <v>15.149999999999999</v>
          </cell>
          <cell r="X18">
            <v>44.050000000000004</v>
          </cell>
          <cell r="Y18">
            <v>66.150000000000006</v>
          </cell>
          <cell r="Z18">
            <v>110.25</v>
          </cell>
          <cell r="AA18">
            <v>65.05</v>
          </cell>
          <cell r="AB18">
            <v>12.9</v>
          </cell>
          <cell r="AC18">
            <v>37.450000000000003</v>
          </cell>
          <cell r="AD18">
            <v>56.25</v>
          </cell>
          <cell r="AE18">
            <v>93.699999999999989</v>
          </cell>
          <cell r="AF18">
            <v>55.300000000000004</v>
          </cell>
          <cell r="AG18">
            <v>116.4</v>
          </cell>
          <cell r="AH18">
            <v>99.800000000000011</v>
          </cell>
          <cell r="AI18">
            <v>94.949999999999989</v>
          </cell>
          <cell r="AJ18">
            <v>85.850000000000009</v>
          </cell>
          <cell r="AK18">
            <v>75.599999999999994</v>
          </cell>
          <cell r="AL18">
            <v>5.15</v>
          </cell>
          <cell r="AM18">
            <v>44.050000000000004</v>
          </cell>
          <cell r="AN18">
            <v>66.150000000000006</v>
          </cell>
          <cell r="AO18">
            <v>110.25</v>
          </cell>
          <cell r="AP18">
            <v>5.15</v>
          </cell>
          <cell r="AQ18">
            <v>5.15</v>
          </cell>
          <cell r="AR18">
            <v>5.15</v>
          </cell>
          <cell r="AS18">
            <v>5.15</v>
          </cell>
          <cell r="AT18">
            <v>5.15</v>
          </cell>
          <cell r="AU18">
            <v>5.15</v>
          </cell>
          <cell r="AV18">
            <v>110.25</v>
          </cell>
          <cell r="AW18">
            <v>0.19600000000000001</v>
          </cell>
          <cell r="AX18">
            <v>0.19600000000000001</v>
          </cell>
          <cell r="AY18">
            <v>0.19600000000000001</v>
          </cell>
          <cell r="AZ18">
            <v>0.19600000000000001</v>
          </cell>
          <cell r="BA18">
            <v>0.19600000000000001</v>
          </cell>
          <cell r="BB18">
            <v>19.863750562144144</v>
          </cell>
          <cell r="BC18">
            <v>17.480100494686845</v>
          </cell>
          <cell r="BD18">
            <v>1.4158409953928535</v>
          </cell>
          <cell r="BE18">
            <v>1.4000000000000001</v>
          </cell>
          <cell r="BF18">
            <v>2.2000000000000002</v>
          </cell>
          <cell r="BG18">
            <v>1.6500000000000001</v>
          </cell>
          <cell r="BH18">
            <v>2.7</v>
          </cell>
          <cell r="BI18">
            <v>2.4500000000000002</v>
          </cell>
          <cell r="BJ18">
            <v>99.2</v>
          </cell>
          <cell r="BK18">
            <v>82.65</v>
          </cell>
          <cell r="BL18">
            <v>66.150000000000006</v>
          </cell>
          <cell r="BM18">
            <v>5.3000000000000007</v>
          </cell>
          <cell r="BN18">
            <v>0.28316819907857066</v>
          </cell>
          <cell r="BO18">
            <v>65.95</v>
          </cell>
          <cell r="BP18">
            <v>87.100000000000009</v>
          </cell>
          <cell r="BQ18">
            <v>92.35</v>
          </cell>
          <cell r="BR18">
            <v>95.649999999999991</v>
          </cell>
          <cell r="BS18">
            <v>96.300000000000011</v>
          </cell>
          <cell r="BT18">
            <v>92.35</v>
          </cell>
          <cell r="BU18">
            <v>91.050000000000011</v>
          </cell>
          <cell r="BV18">
            <v>92.35</v>
          </cell>
          <cell r="BW18">
            <v>100.3</v>
          </cell>
          <cell r="BX18">
            <v>97.65</v>
          </cell>
          <cell r="BY18">
            <v>88.4</v>
          </cell>
          <cell r="BZ18">
            <v>100.8</v>
          </cell>
          <cell r="CA18">
            <v>97</v>
          </cell>
          <cell r="CB18">
            <v>90.399999999999991</v>
          </cell>
          <cell r="CC18">
            <v>98.3</v>
          </cell>
          <cell r="CD18">
            <v>96.300000000000011</v>
          </cell>
          <cell r="CE18">
            <v>5.15</v>
          </cell>
          <cell r="CF18">
            <v>5.15</v>
          </cell>
          <cell r="CG18">
            <v>5.3000000000000007</v>
          </cell>
          <cell r="CH18">
            <v>5.3000000000000007</v>
          </cell>
          <cell r="CI18">
            <v>5.0999999999999996</v>
          </cell>
          <cell r="CJ18">
            <v>8.0500000000000007</v>
          </cell>
          <cell r="CK18">
            <v>7.65</v>
          </cell>
          <cell r="CL18">
            <v>4.0999999999999996</v>
          </cell>
          <cell r="CM18">
            <v>12.649999999999999</v>
          </cell>
          <cell r="CN18">
            <v>5.2</v>
          </cell>
          <cell r="CO18">
            <v>2</v>
          </cell>
          <cell r="CP18">
            <v>290.3</v>
          </cell>
        </row>
        <row r="19">
          <cell r="A19">
            <v>16</v>
          </cell>
          <cell r="B19">
            <v>2032</v>
          </cell>
          <cell r="C19">
            <v>0.85</v>
          </cell>
          <cell r="D19">
            <v>1.05</v>
          </cell>
          <cell r="E19">
            <v>1.25</v>
          </cell>
          <cell r="F19">
            <v>0.02</v>
          </cell>
          <cell r="G19">
            <v>100.95</v>
          </cell>
          <cell r="H19">
            <v>118.75</v>
          </cell>
          <cell r="I19">
            <v>5.5</v>
          </cell>
          <cell r="J19">
            <v>6.45</v>
          </cell>
          <cell r="K19">
            <v>112.44999999999999</v>
          </cell>
          <cell r="L19">
            <v>107.05</v>
          </cell>
          <cell r="M19">
            <v>94.3</v>
          </cell>
          <cell r="N19">
            <v>90.9</v>
          </cell>
          <cell r="O19">
            <v>85.55</v>
          </cell>
          <cell r="P19">
            <v>110.45</v>
          </cell>
          <cell r="Q19">
            <v>120.5</v>
          </cell>
          <cell r="R19">
            <v>93.6</v>
          </cell>
          <cell r="S19">
            <v>5.5</v>
          </cell>
          <cell r="T19">
            <v>5.25</v>
          </cell>
          <cell r="U19">
            <v>4.8499999999999996</v>
          </cell>
          <cell r="V19">
            <v>6.8000000000000007</v>
          </cell>
          <cell r="W19">
            <v>15.5</v>
          </cell>
          <cell r="X19">
            <v>44.95</v>
          </cell>
          <cell r="Y19">
            <v>67.5</v>
          </cell>
          <cell r="Z19">
            <v>112.44999999999999</v>
          </cell>
          <cell r="AA19">
            <v>66.349999999999994</v>
          </cell>
          <cell r="AB19">
            <v>13.200000000000001</v>
          </cell>
          <cell r="AC19">
            <v>38.199999999999996</v>
          </cell>
          <cell r="AD19">
            <v>57.400000000000006</v>
          </cell>
          <cell r="AE19">
            <v>95.600000000000009</v>
          </cell>
          <cell r="AF19">
            <v>56.4</v>
          </cell>
          <cell r="AG19">
            <v>118.75</v>
          </cell>
          <cell r="AH19">
            <v>101.8</v>
          </cell>
          <cell r="AI19">
            <v>96.850000000000009</v>
          </cell>
          <cell r="AJ19">
            <v>87.550000000000011</v>
          </cell>
          <cell r="AK19">
            <v>77.099999999999994</v>
          </cell>
          <cell r="AL19">
            <v>5.25</v>
          </cell>
          <cell r="AM19">
            <v>44.95</v>
          </cell>
          <cell r="AN19">
            <v>67.5</v>
          </cell>
          <cell r="AO19">
            <v>112.44999999999999</v>
          </cell>
          <cell r="AP19">
            <v>5.25</v>
          </cell>
          <cell r="AQ19">
            <v>5.25</v>
          </cell>
          <cell r="AR19">
            <v>5.25</v>
          </cell>
          <cell r="AS19">
            <v>5.25</v>
          </cell>
          <cell r="AT19">
            <v>5.25</v>
          </cell>
          <cell r="AU19">
            <v>5.25</v>
          </cell>
          <cell r="AV19">
            <v>112.44999999999999</v>
          </cell>
          <cell r="AW19">
            <v>0.19600000000000001</v>
          </cell>
          <cell r="AX19">
            <v>0.19600000000000001</v>
          </cell>
          <cell r="AY19">
            <v>0.19600000000000001</v>
          </cell>
          <cell r="AZ19">
            <v>0.19600000000000001</v>
          </cell>
          <cell r="BA19">
            <v>0.19600000000000001</v>
          </cell>
          <cell r="BB19">
            <v>19.863750562144144</v>
          </cell>
          <cell r="BC19">
            <v>17.480100494686845</v>
          </cell>
          <cell r="BD19">
            <v>1.4158409953928535</v>
          </cell>
          <cell r="BE19">
            <v>1.4000000000000001</v>
          </cell>
          <cell r="BF19">
            <v>2.2000000000000002</v>
          </cell>
          <cell r="BG19">
            <v>1.7000000000000002</v>
          </cell>
          <cell r="BH19">
            <v>2.75</v>
          </cell>
          <cell r="BI19">
            <v>2.5</v>
          </cell>
          <cell r="BJ19">
            <v>101.19999999999999</v>
          </cell>
          <cell r="BK19">
            <v>84.3</v>
          </cell>
          <cell r="BL19">
            <v>67.5</v>
          </cell>
          <cell r="BM19">
            <v>5.4</v>
          </cell>
          <cell r="BN19">
            <v>0.28316819907857066</v>
          </cell>
          <cell r="BO19">
            <v>67.300000000000011</v>
          </cell>
          <cell r="BP19">
            <v>88.85</v>
          </cell>
          <cell r="BQ19">
            <v>94.2</v>
          </cell>
          <cell r="BR19">
            <v>97.6</v>
          </cell>
          <cell r="BS19">
            <v>98.25</v>
          </cell>
          <cell r="BT19">
            <v>94.2</v>
          </cell>
          <cell r="BU19">
            <v>92.85</v>
          </cell>
          <cell r="BV19">
            <v>94.2</v>
          </cell>
          <cell r="BW19">
            <v>102.30000000000001</v>
          </cell>
          <cell r="BX19">
            <v>99.600000000000009</v>
          </cell>
          <cell r="BY19">
            <v>90.15</v>
          </cell>
          <cell r="BZ19">
            <v>102.8</v>
          </cell>
          <cell r="CA19">
            <v>98.9</v>
          </cell>
          <cell r="CB19">
            <v>92.2</v>
          </cell>
          <cell r="CC19">
            <v>100.25</v>
          </cell>
          <cell r="CD19">
            <v>98.25</v>
          </cell>
          <cell r="CE19">
            <v>5.25</v>
          </cell>
          <cell r="CF19">
            <v>5.25</v>
          </cell>
          <cell r="CG19">
            <v>5.4</v>
          </cell>
          <cell r="CH19">
            <v>5.4</v>
          </cell>
          <cell r="CI19">
            <v>5.2</v>
          </cell>
          <cell r="CJ19">
            <v>8.1999999999999993</v>
          </cell>
          <cell r="CK19">
            <v>7.8000000000000007</v>
          </cell>
          <cell r="CL19">
            <v>4.1499999999999995</v>
          </cell>
          <cell r="CM19">
            <v>12.9</v>
          </cell>
          <cell r="CN19">
            <v>5.3000000000000007</v>
          </cell>
          <cell r="CO19">
            <v>2</v>
          </cell>
          <cell r="CP19">
            <v>296.10000000000002</v>
          </cell>
        </row>
        <row r="20">
          <cell r="A20">
            <v>17</v>
          </cell>
          <cell r="B20">
            <v>2033</v>
          </cell>
          <cell r="C20">
            <v>0.85</v>
          </cell>
          <cell r="D20">
            <v>1.05</v>
          </cell>
          <cell r="E20">
            <v>1.25</v>
          </cell>
          <cell r="F20">
            <v>0.02</v>
          </cell>
          <cell r="G20">
            <v>102.95</v>
          </cell>
          <cell r="H20">
            <v>121.15</v>
          </cell>
          <cell r="I20">
            <v>5.6499999999999995</v>
          </cell>
          <cell r="J20">
            <v>6.6000000000000005</v>
          </cell>
          <cell r="K20">
            <v>114.7</v>
          </cell>
          <cell r="L20">
            <v>109.2</v>
          </cell>
          <cell r="M20">
            <v>96.15</v>
          </cell>
          <cell r="N20">
            <v>92.75</v>
          </cell>
          <cell r="O20">
            <v>87.25</v>
          </cell>
          <cell r="P20">
            <v>112.65</v>
          </cell>
          <cell r="Q20">
            <v>122.95</v>
          </cell>
          <cell r="R20">
            <v>95.5</v>
          </cell>
          <cell r="S20">
            <v>5.6499999999999995</v>
          </cell>
          <cell r="T20">
            <v>5.3500000000000005</v>
          </cell>
          <cell r="U20">
            <v>4.95</v>
          </cell>
          <cell r="V20">
            <v>6.9499999999999993</v>
          </cell>
          <cell r="W20">
            <v>15.8</v>
          </cell>
          <cell r="X20">
            <v>45.85</v>
          </cell>
          <cell r="Y20">
            <v>68.849999999999994</v>
          </cell>
          <cell r="Z20">
            <v>114.7</v>
          </cell>
          <cell r="AA20">
            <v>67.699999999999989</v>
          </cell>
          <cell r="AB20">
            <v>13.45</v>
          </cell>
          <cell r="AC20">
            <v>38.950000000000003</v>
          </cell>
          <cell r="AD20">
            <v>58.5</v>
          </cell>
          <cell r="AE20">
            <v>97.5</v>
          </cell>
          <cell r="AF20">
            <v>57.55</v>
          </cell>
          <cell r="AG20">
            <v>121.15</v>
          </cell>
          <cell r="AH20">
            <v>103.85</v>
          </cell>
          <cell r="AI20">
            <v>98.75</v>
          </cell>
          <cell r="AJ20">
            <v>89.3</v>
          </cell>
          <cell r="AK20">
            <v>78.650000000000006</v>
          </cell>
          <cell r="AL20">
            <v>5.3500000000000005</v>
          </cell>
          <cell r="AM20">
            <v>45.85</v>
          </cell>
          <cell r="AN20">
            <v>68.849999999999994</v>
          </cell>
          <cell r="AO20">
            <v>114.7</v>
          </cell>
          <cell r="AP20">
            <v>5.3500000000000005</v>
          </cell>
          <cell r="AQ20">
            <v>5.3500000000000005</v>
          </cell>
          <cell r="AR20">
            <v>5.3500000000000005</v>
          </cell>
          <cell r="AS20">
            <v>5.3500000000000005</v>
          </cell>
          <cell r="AT20">
            <v>5.3500000000000005</v>
          </cell>
          <cell r="AU20">
            <v>5.3500000000000005</v>
          </cell>
          <cell r="AV20">
            <v>114.7</v>
          </cell>
          <cell r="AW20">
            <v>0.19600000000000001</v>
          </cell>
          <cell r="AX20">
            <v>0.19600000000000001</v>
          </cell>
          <cell r="AY20">
            <v>0.19600000000000001</v>
          </cell>
          <cell r="AZ20">
            <v>0.19600000000000001</v>
          </cell>
          <cell r="BA20">
            <v>0.19600000000000001</v>
          </cell>
          <cell r="BB20">
            <v>19.863750562144144</v>
          </cell>
          <cell r="BC20">
            <v>17.480100494686845</v>
          </cell>
          <cell r="BD20">
            <v>1.4158409953928535</v>
          </cell>
          <cell r="BE20">
            <v>1.45</v>
          </cell>
          <cell r="BF20">
            <v>2.25</v>
          </cell>
          <cell r="BG20">
            <v>1.7000000000000002</v>
          </cell>
          <cell r="BH20">
            <v>2.8000000000000003</v>
          </cell>
          <cell r="BI20">
            <v>2.5499999999999998</v>
          </cell>
          <cell r="BJ20">
            <v>103.25</v>
          </cell>
          <cell r="BK20">
            <v>86</v>
          </cell>
          <cell r="BL20">
            <v>68.849999999999994</v>
          </cell>
          <cell r="BM20">
            <v>5.5</v>
          </cell>
          <cell r="BN20">
            <v>0.28316819907857066</v>
          </cell>
          <cell r="BO20">
            <v>68.650000000000006</v>
          </cell>
          <cell r="BP20">
            <v>90.600000000000009</v>
          </cell>
          <cell r="BQ20">
            <v>96.1</v>
          </cell>
          <cell r="BR20">
            <v>99.55</v>
          </cell>
          <cell r="BS20">
            <v>100.19999999999999</v>
          </cell>
          <cell r="BT20">
            <v>96.1</v>
          </cell>
          <cell r="BU20">
            <v>94.7</v>
          </cell>
          <cell r="BV20">
            <v>96.1</v>
          </cell>
          <cell r="BW20">
            <v>104.35000000000001</v>
          </cell>
          <cell r="BX20">
            <v>101.6</v>
          </cell>
          <cell r="BY20">
            <v>92</v>
          </cell>
          <cell r="BZ20">
            <v>104.9</v>
          </cell>
          <cell r="CA20">
            <v>100.9</v>
          </cell>
          <cell r="CB20">
            <v>94.05</v>
          </cell>
          <cell r="CC20">
            <v>102.25</v>
          </cell>
          <cell r="CD20">
            <v>100.19999999999999</v>
          </cell>
          <cell r="CE20">
            <v>5.3500000000000005</v>
          </cell>
          <cell r="CF20">
            <v>5.3500000000000005</v>
          </cell>
          <cell r="CG20">
            <v>5.5</v>
          </cell>
          <cell r="CH20">
            <v>5.5</v>
          </cell>
          <cell r="CI20">
            <v>5.3000000000000007</v>
          </cell>
          <cell r="CJ20">
            <v>8.35</v>
          </cell>
          <cell r="CK20">
            <v>7.95</v>
          </cell>
          <cell r="CL20">
            <v>4.25</v>
          </cell>
          <cell r="CM20">
            <v>13.200000000000001</v>
          </cell>
          <cell r="CN20">
            <v>5.4</v>
          </cell>
          <cell r="CO20">
            <v>2.0499999999999998</v>
          </cell>
          <cell r="CP20">
            <v>302</v>
          </cell>
        </row>
        <row r="21">
          <cell r="A21">
            <v>18</v>
          </cell>
          <cell r="B21">
            <v>2034</v>
          </cell>
          <cell r="C21">
            <v>0.85</v>
          </cell>
          <cell r="D21">
            <v>1.05</v>
          </cell>
          <cell r="E21">
            <v>1.25</v>
          </cell>
          <cell r="F21">
            <v>0.02</v>
          </cell>
          <cell r="G21">
            <v>105</v>
          </cell>
          <cell r="H21">
            <v>123.55000000000001</v>
          </cell>
          <cell r="I21">
            <v>5.75</v>
          </cell>
          <cell r="J21">
            <v>6.7</v>
          </cell>
          <cell r="K21">
            <v>117</v>
          </cell>
          <cell r="L21">
            <v>111.4</v>
          </cell>
          <cell r="M21">
            <v>98.100000000000009</v>
          </cell>
          <cell r="N21">
            <v>94.600000000000009</v>
          </cell>
          <cell r="O21">
            <v>89</v>
          </cell>
          <cell r="P21">
            <v>114.9</v>
          </cell>
          <cell r="Q21">
            <v>125.39999999999999</v>
          </cell>
          <cell r="R21">
            <v>97.4</v>
          </cell>
          <cell r="S21">
            <v>5.75</v>
          </cell>
          <cell r="T21">
            <v>5.45</v>
          </cell>
          <cell r="U21">
            <v>5.05</v>
          </cell>
          <cell r="V21">
            <v>7.05</v>
          </cell>
          <cell r="W21">
            <v>16.100000000000001</v>
          </cell>
          <cell r="X21">
            <v>46.75</v>
          </cell>
          <cell r="Y21">
            <v>70.199999999999989</v>
          </cell>
          <cell r="Z21">
            <v>117</v>
          </cell>
          <cell r="AA21">
            <v>69.05</v>
          </cell>
          <cell r="AB21">
            <v>13.700000000000001</v>
          </cell>
          <cell r="AC21">
            <v>39.75</v>
          </cell>
          <cell r="AD21">
            <v>59.65</v>
          </cell>
          <cell r="AE21">
            <v>99.45</v>
          </cell>
          <cell r="AF21">
            <v>58.7</v>
          </cell>
          <cell r="AG21">
            <v>123.55000000000001</v>
          </cell>
          <cell r="AH21">
            <v>105.95</v>
          </cell>
          <cell r="AI21">
            <v>100.75</v>
          </cell>
          <cell r="AJ21">
            <v>91.1</v>
          </cell>
          <cell r="AK21">
            <v>80.25</v>
          </cell>
          <cell r="AL21">
            <v>5.45</v>
          </cell>
          <cell r="AM21">
            <v>46.75</v>
          </cell>
          <cell r="AN21">
            <v>70.199999999999989</v>
          </cell>
          <cell r="AO21">
            <v>117</v>
          </cell>
          <cell r="AP21">
            <v>5.45</v>
          </cell>
          <cell r="AQ21">
            <v>5.45</v>
          </cell>
          <cell r="AR21">
            <v>5.45</v>
          </cell>
          <cell r="AS21">
            <v>5.45</v>
          </cell>
          <cell r="AT21">
            <v>5.45</v>
          </cell>
          <cell r="AU21">
            <v>5.45</v>
          </cell>
          <cell r="AV21">
            <v>117</v>
          </cell>
          <cell r="AW21">
            <v>0.19600000000000001</v>
          </cell>
          <cell r="AX21">
            <v>0.19600000000000001</v>
          </cell>
          <cell r="AY21">
            <v>0.19600000000000001</v>
          </cell>
          <cell r="AZ21">
            <v>0.19600000000000001</v>
          </cell>
          <cell r="BA21">
            <v>0.19600000000000001</v>
          </cell>
          <cell r="BB21">
            <v>19.863750562144144</v>
          </cell>
          <cell r="BC21">
            <v>17.480100494686845</v>
          </cell>
          <cell r="BD21">
            <v>1.4158409953928535</v>
          </cell>
          <cell r="BE21">
            <v>1.45</v>
          </cell>
          <cell r="BF21">
            <v>2.3000000000000003</v>
          </cell>
          <cell r="BG21">
            <v>1.75</v>
          </cell>
          <cell r="BH21">
            <v>2.8499999999999996</v>
          </cell>
          <cell r="BI21">
            <v>2.6</v>
          </cell>
          <cell r="BJ21">
            <v>105.3</v>
          </cell>
          <cell r="BK21">
            <v>87.75</v>
          </cell>
          <cell r="BL21">
            <v>70.199999999999989</v>
          </cell>
          <cell r="BM21">
            <v>5.6000000000000005</v>
          </cell>
          <cell r="BN21">
            <v>0.28316819907857066</v>
          </cell>
          <cell r="BO21">
            <v>70</v>
          </cell>
          <cell r="BP21">
            <v>92.4</v>
          </cell>
          <cell r="BQ21">
            <v>98</v>
          </cell>
          <cell r="BR21">
            <v>101.5</v>
          </cell>
          <cell r="BS21">
            <v>102.2</v>
          </cell>
          <cell r="BT21">
            <v>98</v>
          </cell>
          <cell r="BU21">
            <v>96.6</v>
          </cell>
          <cell r="BV21">
            <v>98</v>
          </cell>
          <cell r="BW21">
            <v>106.4</v>
          </cell>
          <cell r="BX21">
            <v>103.6</v>
          </cell>
          <cell r="BY21">
            <v>93.800000000000011</v>
          </cell>
          <cell r="BZ21">
            <v>107</v>
          </cell>
          <cell r="CA21">
            <v>102.89999999999999</v>
          </cell>
          <cell r="CB21">
            <v>95.9</v>
          </cell>
          <cell r="CC21">
            <v>104.3</v>
          </cell>
          <cell r="CD21">
            <v>102.2</v>
          </cell>
          <cell r="CE21">
            <v>5.45</v>
          </cell>
          <cell r="CF21">
            <v>5.45</v>
          </cell>
          <cell r="CG21">
            <v>5.6000000000000005</v>
          </cell>
          <cell r="CH21">
            <v>5.6000000000000005</v>
          </cell>
          <cell r="CI21">
            <v>5.4</v>
          </cell>
          <cell r="CJ21">
            <v>8.5500000000000007</v>
          </cell>
          <cell r="CK21">
            <v>8.1000000000000014</v>
          </cell>
          <cell r="CL21">
            <v>4.3499999999999996</v>
          </cell>
          <cell r="CM21">
            <v>13.45</v>
          </cell>
          <cell r="CN21">
            <v>5.5500000000000007</v>
          </cell>
          <cell r="CO21">
            <v>2.1</v>
          </cell>
          <cell r="CP21">
            <v>308.05</v>
          </cell>
        </row>
        <row r="22">
          <cell r="A22">
            <v>19</v>
          </cell>
          <cell r="B22">
            <v>2035</v>
          </cell>
          <cell r="C22">
            <v>0.85</v>
          </cell>
          <cell r="D22">
            <v>1.05</v>
          </cell>
          <cell r="E22">
            <v>1.25</v>
          </cell>
          <cell r="F22">
            <v>0.02</v>
          </cell>
          <cell r="G22">
            <v>107.10000000000001</v>
          </cell>
          <cell r="H22">
            <v>126</v>
          </cell>
          <cell r="I22">
            <v>5.85</v>
          </cell>
          <cell r="J22">
            <v>6.8500000000000005</v>
          </cell>
          <cell r="K22">
            <v>119.35000000000001</v>
          </cell>
          <cell r="L22">
            <v>113.6</v>
          </cell>
          <cell r="M22">
            <v>100.05000000000001</v>
          </cell>
          <cell r="N22">
            <v>96.5</v>
          </cell>
          <cell r="O22">
            <v>90.75</v>
          </cell>
          <cell r="P22">
            <v>117.2</v>
          </cell>
          <cell r="Q22">
            <v>127.89999999999999</v>
          </cell>
          <cell r="R22">
            <v>99.350000000000009</v>
          </cell>
          <cell r="S22">
            <v>5.85</v>
          </cell>
          <cell r="T22">
            <v>5.5500000000000007</v>
          </cell>
          <cell r="U22">
            <v>5.15</v>
          </cell>
          <cell r="V22">
            <v>7.1999999999999993</v>
          </cell>
          <cell r="W22">
            <v>16.399999999999999</v>
          </cell>
          <cell r="X22">
            <v>47.699999999999996</v>
          </cell>
          <cell r="Y22">
            <v>71.650000000000006</v>
          </cell>
          <cell r="Z22">
            <v>119.35000000000001</v>
          </cell>
          <cell r="AA22">
            <v>70.400000000000006</v>
          </cell>
          <cell r="AB22">
            <v>13.95</v>
          </cell>
          <cell r="AC22">
            <v>40.549999999999997</v>
          </cell>
          <cell r="AD22">
            <v>60.9</v>
          </cell>
          <cell r="AE22">
            <v>101.44999999999999</v>
          </cell>
          <cell r="AF22">
            <v>59.85</v>
          </cell>
          <cell r="AG22">
            <v>126</v>
          </cell>
          <cell r="AH22">
            <v>108.05</v>
          </cell>
          <cell r="AI22">
            <v>102.75</v>
          </cell>
          <cell r="AJ22">
            <v>92.899999999999991</v>
          </cell>
          <cell r="AK22">
            <v>81.850000000000009</v>
          </cell>
          <cell r="AL22">
            <v>5.5500000000000007</v>
          </cell>
          <cell r="AM22">
            <v>47.699999999999996</v>
          </cell>
          <cell r="AN22">
            <v>71.650000000000006</v>
          </cell>
          <cell r="AO22">
            <v>119.35000000000001</v>
          </cell>
          <cell r="AP22">
            <v>5.5500000000000007</v>
          </cell>
          <cell r="AQ22">
            <v>5.5500000000000007</v>
          </cell>
          <cell r="AR22">
            <v>5.5500000000000007</v>
          </cell>
          <cell r="AS22">
            <v>5.5500000000000007</v>
          </cell>
          <cell r="AT22">
            <v>5.5500000000000007</v>
          </cell>
          <cell r="AU22">
            <v>5.5500000000000007</v>
          </cell>
          <cell r="AV22">
            <v>119.35000000000001</v>
          </cell>
          <cell r="AW22">
            <v>0.19600000000000001</v>
          </cell>
          <cell r="AX22">
            <v>0.19600000000000001</v>
          </cell>
          <cell r="AY22">
            <v>0.19600000000000001</v>
          </cell>
          <cell r="AZ22">
            <v>0.19600000000000001</v>
          </cell>
          <cell r="BA22">
            <v>0.19600000000000001</v>
          </cell>
          <cell r="BB22">
            <v>19.863750562144144</v>
          </cell>
          <cell r="BC22">
            <v>17.480100494686845</v>
          </cell>
          <cell r="BD22">
            <v>1.4158409953928535</v>
          </cell>
          <cell r="BE22">
            <v>1.5</v>
          </cell>
          <cell r="BF22">
            <v>2.3499999999999996</v>
          </cell>
          <cell r="BG22">
            <v>1.7999999999999998</v>
          </cell>
          <cell r="BH22">
            <v>2.9499999999999997</v>
          </cell>
          <cell r="BI22">
            <v>2.6500000000000004</v>
          </cell>
          <cell r="BJ22">
            <v>107.4</v>
          </cell>
          <cell r="BK22">
            <v>89.5</v>
          </cell>
          <cell r="BL22">
            <v>71.650000000000006</v>
          </cell>
          <cell r="BM22">
            <v>5.6999999999999993</v>
          </cell>
          <cell r="BN22">
            <v>0.28316819907857066</v>
          </cell>
          <cell r="BO22">
            <v>71.399999999999991</v>
          </cell>
          <cell r="BP22">
            <v>94.25</v>
          </cell>
          <cell r="BQ22">
            <v>100</v>
          </cell>
          <cell r="BR22">
            <v>103.55000000000001</v>
          </cell>
          <cell r="BS22">
            <v>104.25</v>
          </cell>
          <cell r="BT22">
            <v>100</v>
          </cell>
          <cell r="BU22">
            <v>98.550000000000011</v>
          </cell>
          <cell r="BV22">
            <v>100</v>
          </cell>
          <cell r="BW22">
            <v>108.55000000000001</v>
          </cell>
          <cell r="BX22">
            <v>105.7</v>
          </cell>
          <cell r="BY22">
            <v>95.7</v>
          </cell>
          <cell r="BZ22">
            <v>109.1</v>
          </cell>
          <cell r="CA22">
            <v>105</v>
          </cell>
          <cell r="CB22">
            <v>97.85</v>
          </cell>
          <cell r="CC22">
            <v>106.4</v>
          </cell>
          <cell r="CD22">
            <v>104.25</v>
          </cell>
          <cell r="CE22">
            <v>5.5500000000000007</v>
          </cell>
          <cell r="CF22">
            <v>5.5500000000000007</v>
          </cell>
          <cell r="CG22">
            <v>5.6999999999999993</v>
          </cell>
          <cell r="CH22">
            <v>5.6999999999999993</v>
          </cell>
          <cell r="CI22">
            <v>5.5</v>
          </cell>
          <cell r="CJ22">
            <v>8.6999999999999993</v>
          </cell>
          <cell r="CK22">
            <v>8.2999999999999989</v>
          </cell>
          <cell r="CL22">
            <v>4.45</v>
          </cell>
          <cell r="CM22">
            <v>13.700000000000001</v>
          </cell>
          <cell r="CN22">
            <v>5.6499999999999995</v>
          </cell>
          <cell r="CO22">
            <v>2.15</v>
          </cell>
          <cell r="CP22">
            <v>314.20000000000005</v>
          </cell>
        </row>
        <row r="23">
          <cell r="A23">
            <v>20</v>
          </cell>
          <cell r="B23">
            <v>2036</v>
          </cell>
          <cell r="C23">
            <v>0.85</v>
          </cell>
          <cell r="D23">
            <v>1.05</v>
          </cell>
          <cell r="E23">
            <v>1.25</v>
          </cell>
          <cell r="F23">
            <v>0.02</v>
          </cell>
          <cell r="G23">
            <v>109.25</v>
          </cell>
          <cell r="H23">
            <v>128.55000000000001</v>
          </cell>
          <cell r="I23">
            <v>5.9499999999999993</v>
          </cell>
          <cell r="J23">
            <v>7</v>
          </cell>
          <cell r="K23">
            <v>121.7</v>
          </cell>
          <cell r="L23">
            <v>115.9</v>
          </cell>
          <cell r="M23">
            <v>102.05</v>
          </cell>
          <cell r="N23">
            <v>98.4</v>
          </cell>
          <cell r="O23">
            <v>92.6</v>
          </cell>
          <cell r="P23">
            <v>119.55</v>
          </cell>
          <cell r="Q23">
            <v>130.44999999999999</v>
          </cell>
          <cell r="R23">
            <v>101.30000000000001</v>
          </cell>
          <cell r="S23">
            <v>5.9499999999999993</v>
          </cell>
          <cell r="T23">
            <v>5.6999999999999993</v>
          </cell>
          <cell r="U23">
            <v>5.25</v>
          </cell>
          <cell r="V23">
            <v>7.35</v>
          </cell>
          <cell r="W23">
            <v>16.75</v>
          </cell>
          <cell r="X23">
            <v>48.650000000000006</v>
          </cell>
          <cell r="Y23">
            <v>73.05</v>
          </cell>
          <cell r="Z23">
            <v>121.7</v>
          </cell>
          <cell r="AA23">
            <v>71.8</v>
          </cell>
          <cell r="AB23">
            <v>14.25</v>
          </cell>
          <cell r="AC23">
            <v>41.349999999999994</v>
          </cell>
          <cell r="AD23">
            <v>62.1</v>
          </cell>
          <cell r="AE23">
            <v>103.45</v>
          </cell>
          <cell r="AF23">
            <v>61.050000000000004</v>
          </cell>
          <cell r="AG23">
            <v>128.55000000000001</v>
          </cell>
          <cell r="AH23">
            <v>110.19999999999999</v>
          </cell>
          <cell r="AI23">
            <v>104.80000000000001</v>
          </cell>
          <cell r="AJ23">
            <v>94.75</v>
          </cell>
          <cell r="AK23">
            <v>83.5</v>
          </cell>
          <cell r="AL23">
            <v>5.6999999999999993</v>
          </cell>
          <cell r="AM23">
            <v>48.650000000000006</v>
          </cell>
          <cell r="AN23">
            <v>73.05</v>
          </cell>
          <cell r="AO23">
            <v>121.7</v>
          </cell>
          <cell r="AP23">
            <v>5.6999999999999993</v>
          </cell>
          <cell r="AQ23">
            <v>5.6999999999999993</v>
          </cell>
          <cell r="AR23">
            <v>5.6999999999999993</v>
          </cell>
          <cell r="AS23">
            <v>5.6999999999999993</v>
          </cell>
          <cell r="AT23">
            <v>5.6999999999999993</v>
          </cell>
          <cell r="AU23">
            <v>5.6999999999999993</v>
          </cell>
          <cell r="AV23">
            <v>121.7</v>
          </cell>
          <cell r="AW23">
            <v>0.19600000000000001</v>
          </cell>
          <cell r="AX23">
            <v>0.19600000000000001</v>
          </cell>
          <cell r="AY23">
            <v>0.19600000000000001</v>
          </cell>
          <cell r="AZ23">
            <v>0.19600000000000001</v>
          </cell>
          <cell r="BA23">
            <v>0.19600000000000001</v>
          </cell>
          <cell r="BB23">
            <v>19.863750562144144</v>
          </cell>
          <cell r="BC23">
            <v>17.480100494686845</v>
          </cell>
          <cell r="BD23">
            <v>1.4158409953928535</v>
          </cell>
          <cell r="BE23">
            <v>1.55</v>
          </cell>
          <cell r="BF23">
            <v>2.4</v>
          </cell>
          <cell r="BG23">
            <v>1.7999999999999998</v>
          </cell>
          <cell r="BH23">
            <v>3</v>
          </cell>
          <cell r="BI23">
            <v>2.7</v>
          </cell>
          <cell r="BJ23">
            <v>109.55</v>
          </cell>
          <cell r="BK23">
            <v>91.25</v>
          </cell>
          <cell r="BL23">
            <v>73.05</v>
          </cell>
          <cell r="BM23">
            <v>5.85</v>
          </cell>
          <cell r="BN23">
            <v>0.28316819907857066</v>
          </cell>
          <cell r="BO23">
            <v>72.849999999999994</v>
          </cell>
          <cell r="BP23">
            <v>96.15</v>
          </cell>
          <cell r="BQ23">
            <v>102</v>
          </cell>
          <cell r="BR23">
            <v>105.60000000000001</v>
          </cell>
          <cell r="BS23">
            <v>106.35</v>
          </cell>
          <cell r="BT23">
            <v>102</v>
          </cell>
          <cell r="BU23">
            <v>100.5</v>
          </cell>
          <cell r="BV23">
            <v>102</v>
          </cell>
          <cell r="BW23">
            <v>110.7</v>
          </cell>
          <cell r="BX23">
            <v>107.8</v>
          </cell>
          <cell r="BY23">
            <v>97.6</v>
          </cell>
          <cell r="BZ23">
            <v>111.30000000000001</v>
          </cell>
          <cell r="CA23">
            <v>107.10000000000001</v>
          </cell>
          <cell r="CB23">
            <v>99.800000000000011</v>
          </cell>
          <cell r="CC23">
            <v>108.55000000000001</v>
          </cell>
          <cell r="CD23">
            <v>106.35</v>
          </cell>
          <cell r="CE23">
            <v>5.6999999999999993</v>
          </cell>
          <cell r="CF23">
            <v>5.6999999999999993</v>
          </cell>
          <cell r="CG23">
            <v>5.85</v>
          </cell>
          <cell r="CH23">
            <v>5.85</v>
          </cell>
          <cell r="CI23">
            <v>5.6000000000000005</v>
          </cell>
          <cell r="CJ23">
            <v>8.9</v>
          </cell>
          <cell r="CK23">
            <v>8.4499999999999993</v>
          </cell>
          <cell r="CL23">
            <v>4.5</v>
          </cell>
          <cell r="CM23">
            <v>14</v>
          </cell>
          <cell r="CN23">
            <v>5.75</v>
          </cell>
          <cell r="CO23">
            <v>2.2000000000000002</v>
          </cell>
          <cell r="CP23">
            <v>320.5</v>
          </cell>
        </row>
        <row r="24">
          <cell r="A24">
            <v>21</v>
          </cell>
          <cell r="B24">
            <v>2037</v>
          </cell>
          <cell r="C24">
            <v>0.85</v>
          </cell>
          <cell r="D24">
            <v>1.05</v>
          </cell>
          <cell r="E24">
            <v>1.25</v>
          </cell>
          <cell r="F24">
            <v>0.02</v>
          </cell>
          <cell r="G24">
            <v>111.44999999999999</v>
          </cell>
          <cell r="H24">
            <v>131.1</v>
          </cell>
          <cell r="I24">
            <v>6.1</v>
          </cell>
          <cell r="J24">
            <v>7.1499999999999995</v>
          </cell>
          <cell r="K24">
            <v>124.14999999999999</v>
          </cell>
          <cell r="L24">
            <v>118.2</v>
          </cell>
          <cell r="M24">
            <v>104.1</v>
          </cell>
          <cell r="N24">
            <v>100.39999999999999</v>
          </cell>
          <cell r="O24">
            <v>94.45</v>
          </cell>
          <cell r="P24">
            <v>121.89999999999999</v>
          </cell>
          <cell r="Q24">
            <v>133.05000000000001</v>
          </cell>
          <cell r="R24">
            <v>103.35000000000001</v>
          </cell>
          <cell r="S24">
            <v>6.1</v>
          </cell>
          <cell r="T24">
            <v>5.8</v>
          </cell>
          <cell r="U24">
            <v>5.3500000000000005</v>
          </cell>
          <cell r="V24">
            <v>7.5</v>
          </cell>
          <cell r="W24">
            <v>17.100000000000001</v>
          </cell>
          <cell r="X24">
            <v>49.65</v>
          </cell>
          <cell r="Y24">
            <v>74.5</v>
          </cell>
          <cell r="Z24">
            <v>124.14999999999999</v>
          </cell>
          <cell r="AA24">
            <v>73.25</v>
          </cell>
          <cell r="AB24">
            <v>14.55</v>
          </cell>
          <cell r="AC24">
            <v>42.199999999999996</v>
          </cell>
          <cell r="AD24">
            <v>63.35</v>
          </cell>
          <cell r="AE24">
            <v>105.55</v>
          </cell>
          <cell r="AF24">
            <v>62.25</v>
          </cell>
          <cell r="AG24">
            <v>131.1</v>
          </cell>
          <cell r="AH24">
            <v>112.4</v>
          </cell>
          <cell r="AI24">
            <v>106.89999999999999</v>
          </cell>
          <cell r="AJ24">
            <v>96.649999999999991</v>
          </cell>
          <cell r="AK24">
            <v>85.15</v>
          </cell>
          <cell r="AL24">
            <v>5.8</v>
          </cell>
          <cell r="AM24">
            <v>49.65</v>
          </cell>
          <cell r="AN24">
            <v>74.5</v>
          </cell>
          <cell r="AO24">
            <v>124.14999999999999</v>
          </cell>
          <cell r="AP24">
            <v>5.8</v>
          </cell>
          <cell r="AQ24">
            <v>5.8</v>
          </cell>
          <cell r="AR24">
            <v>5.8</v>
          </cell>
          <cell r="AS24">
            <v>5.8</v>
          </cell>
          <cell r="AT24">
            <v>5.8</v>
          </cell>
          <cell r="AU24">
            <v>5.8</v>
          </cell>
          <cell r="AV24">
            <v>124.14999999999999</v>
          </cell>
          <cell r="AW24">
            <v>0.19600000000000001</v>
          </cell>
          <cell r="AX24">
            <v>0.19600000000000001</v>
          </cell>
          <cell r="AY24">
            <v>0.19600000000000001</v>
          </cell>
          <cell r="AZ24">
            <v>0.19600000000000001</v>
          </cell>
          <cell r="BA24">
            <v>0.19600000000000001</v>
          </cell>
          <cell r="BB24">
            <v>19.863750562144144</v>
          </cell>
          <cell r="BC24">
            <v>17.480100494686845</v>
          </cell>
          <cell r="BD24">
            <v>1.4158409953928535</v>
          </cell>
          <cell r="BE24">
            <v>1.55</v>
          </cell>
          <cell r="BF24">
            <v>2.4500000000000002</v>
          </cell>
          <cell r="BG24">
            <v>1.85</v>
          </cell>
          <cell r="BH24">
            <v>3.05</v>
          </cell>
          <cell r="BI24">
            <v>2.75</v>
          </cell>
          <cell r="BJ24">
            <v>111.75</v>
          </cell>
          <cell r="BK24">
            <v>93.100000000000009</v>
          </cell>
          <cell r="BL24">
            <v>74.5</v>
          </cell>
          <cell r="BM24">
            <v>5.9499999999999993</v>
          </cell>
          <cell r="BN24">
            <v>0.28316819907857066</v>
          </cell>
          <cell r="BO24">
            <v>74.3</v>
          </cell>
          <cell r="BP24">
            <v>98.05</v>
          </cell>
          <cell r="BQ24">
            <v>104</v>
          </cell>
          <cell r="BR24">
            <v>107.75</v>
          </cell>
          <cell r="BS24">
            <v>108.45</v>
          </cell>
          <cell r="BT24">
            <v>104</v>
          </cell>
          <cell r="BU24">
            <v>102.55000000000001</v>
          </cell>
          <cell r="BV24">
            <v>104</v>
          </cell>
          <cell r="BW24">
            <v>112.95</v>
          </cell>
          <cell r="BX24">
            <v>109.94999999999999</v>
          </cell>
          <cell r="BY24">
            <v>99.55</v>
          </cell>
          <cell r="BZ24">
            <v>113.55000000000001</v>
          </cell>
          <cell r="CA24">
            <v>109.2</v>
          </cell>
          <cell r="CB24">
            <v>101.8</v>
          </cell>
          <cell r="CC24">
            <v>110.7</v>
          </cell>
          <cell r="CD24">
            <v>108.45</v>
          </cell>
          <cell r="CE24">
            <v>5.8</v>
          </cell>
          <cell r="CF24">
            <v>5.8</v>
          </cell>
          <cell r="CG24">
            <v>5.9499999999999993</v>
          </cell>
          <cell r="CH24">
            <v>5.9499999999999993</v>
          </cell>
          <cell r="CI24">
            <v>5.6999999999999993</v>
          </cell>
          <cell r="CJ24">
            <v>9.0500000000000007</v>
          </cell>
          <cell r="CK24">
            <v>8.6</v>
          </cell>
          <cell r="CL24">
            <v>4.6000000000000005</v>
          </cell>
          <cell r="CM24">
            <v>14.25</v>
          </cell>
          <cell r="CN24">
            <v>5.85</v>
          </cell>
          <cell r="CO24">
            <v>2.25</v>
          </cell>
          <cell r="CP24">
            <v>326.89999999999998</v>
          </cell>
        </row>
        <row r="25">
          <cell r="A25">
            <v>22</v>
          </cell>
          <cell r="B25">
            <v>2038</v>
          </cell>
          <cell r="C25">
            <v>0.85</v>
          </cell>
          <cell r="D25">
            <v>1.05</v>
          </cell>
          <cell r="E25">
            <v>1.25</v>
          </cell>
          <cell r="F25">
            <v>0.02</v>
          </cell>
          <cell r="G25">
            <v>113.65</v>
          </cell>
          <cell r="H25">
            <v>133.75</v>
          </cell>
          <cell r="I25">
            <v>6.2</v>
          </cell>
          <cell r="J25">
            <v>7.3</v>
          </cell>
          <cell r="K25">
            <v>126.64999999999999</v>
          </cell>
          <cell r="L25">
            <v>120.55</v>
          </cell>
          <cell r="M25">
            <v>106.15</v>
          </cell>
          <cell r="N25">
            <v>102.4</v>
          </cell>
          <cell r="O25">
            <v>96.300000000000011</v>
          </cell>
          <cell r="P25">
            <v>124.35000000000001</v>
          </cell>
          <cell r="Q25">
            <v>135.75</v>
          </cell>
          <cell r="R25">
            <v>105.39999999999999</v>
          </cell>
          <cell r="S25">
            <v>6.2</v>
          </cell>
          <cell r="T25">
            <v>5.8999999999999995</v>
          </cell>
          <cell r="U25">
            <v>5.45</v>
          </cell>
          <cell r="V25">
            <v>7.65</v>
          </cell>
          <cell r="W25">
            <v>17.450000000000003</v>
          </cell>
          <cell r="X25">
            <v>50.599999999999994</v>
          </cell>
          <cell r="Y25">
            <v>76</v>
          </cell>
          <cell r="Z25">
            <v>126.64999999999999</v>
          </cell>
          <cell r="AA25">
            <v>74.7</v>
          </cell>
          <cell r="AB25">
            <v>14.850000000000001</v>
          </cell>
          <cell r="AC25">
            <v>43</v>
          </cell>
          <cell r="AD25">
            <v>64.599999999999994</v>
          </cell>
          <cell r="AE25">
            <v>107.65</v>
          </cell>
          <cell r="AF25">
            <v>63.5</v>
          </cell>
          <cell r="AG25">
            <v>133.75</v>
          </cell>
          <cell r="AH25">
            <v>114.65</v>
          </cell>
          <cell r="AI25">
            <v>109.05</v>
          </cell>
          <cell r="AJ25">
            <v>98.6</v>
          </cell>
          <cell r="AK25">
            <v>86.850000000000009</v>
          </cell>
          <cell r="AL25">
            <v>5.8999999999999995</v>
          </cell>
          <cell r="AM25">
            <v>50.599999999999994</v>
          </cell>
          <cell r="AN25">
            <v>76</v>
          </cell>
          <cell r="AO25">
            <v>126.64999999999999</v>
          </cell>
          <cell r="AP25">
            <v>5.8999999999999995</v>
          </cell>
          <cell r="AQ25">
            <v>5.8999999999999995</v>
          </cell>
          <cell r="AR25">
            <v>5.8999999999999995</v>
          </cell>
          <cell r="AS25">
            <v>5.8999999999999995</v>
          </cell>
          <cell r="AT25">
            <v>5.8999999999999995</v>
          </cell>
          <cell r="AU25">
            <v>5.8999999999999995</v>
          </cell>
          <cell r="AV25">
            <v>126.64999999999999</v>
          </cell>
          <cell r="AW25">
            <v>0.19600000000000001</v>
          </cell>
          <cell r="AX25">
            <v>0.19600000000000001</v>
          </cell>
          <cell r="AY25">
            <v>0.19600000000000001</v>
          </cell>
          <cell r="AZ25">
            <v>0.19600000000000001</v>
          </cell>
          <cell r="BA25">
            <v>0.19600000000000001</v>
          </cell>
          <cell r="BB25">
            <v>19.863750562144144</v>
          </cell>
          <cell r="BC25">
            <v>17.480100494686845</v>
          </cell>
          <cell r="BD25">
            <v>1.4158409953928535</v>
          </cell>
          <cell r="BE25">
            <v>1.6</v>
          </cell>
          <cell r="BF25">
            <v>2.5</v>
          </cell>
          <cell r="BG25">
            <v>1.9</v>
          </cell>
          <cell r="BH25">
            <v>3.1</v>
          </cell>
          <cell r="BI25">
            <v>2.8000000000000003</v>
          </cell>
          <cell r="BJ25">
            <v>114</v>
          </cell>
          <cell r="BK25">
            <v>94.949999999999989</v>
          </cell>
          <cell r="BL25">
            <v>76</v>
          </cell>
          <cell r="BM25">
            <v>6.05</v>
          </cell>
          <cell r="BN25">
            <v>0.28316819907857066</v>
          </cell>
          <cell r="BO25">
            <v>75.8</v>
          </cell>
          <cell r="BP25">
            <v>100.05000000000001</v>
          </cell>
          <cell r="BQ25">
            <v>106.1</v>
          </cell>
          <cell r="BR25">
            <v>109.9</v>
          </cell>
          <cell r="BS25">
            <v>110.64999999999999</v>
          </cell>
          <cell r="BT25">
            <v>106.1</v>
          </cell>
          <cell r="BU25">
            <v>104.60000000000001</v>
          </cell>
          <cell r="BV25">
            <v>106.1</v>
          </cell>
          <cell r="BW25">
            <v>115.19999999999999</v>
          </cell>
          <cell r="BX25">
            <v>112.15</v>
          </cell>
          <cell r="BY25">
            <v>101.55</v>
          </cell>
          <cell r="BZ25">
            <v>115.8</v>
          </cell>
          <cell r="CA25">
            <v>111.4</v>
          </cell>
          <cell r="CB25">
            <v>103.80000000000001</v>
          </cell>
          <cell r="CC25">
            <v>112.89999999999999</v>
          </cell>
          <cell r="CD25">
            <v>110.64999999999999</v>
          </cell>
          <cell r="CE25">
            <v>5.8999999999999995</v>
          </cell>
          <cell r="CF25">
            <v>5.8999999999999995</v>
          </cell>
          <cell r="CG25">
            <v>6.05</v>
          </cell>
          <cell r="CH25">
            <v>6.05</v>
          </cell>
          <cell r="CI25">
            <v>5.85</v>
          </cell>
          <cell r="CJ25">
            <v>9.25</v>
          </cell>
          <cell r="CK25">
            <v>8.8000000000000007</v>
          </cell>
          <cell r="CL25">
            <v>4.6999999999999993</v>
          </cell>
          <cell r="CM25">
            <v>14.55</v>
          </cell>
          <cell r="CN25">
            <v>6</v>
          </cell>
          <cell r="CO25">
            <v>2.25</v>
          </cell>
          <cell r="CP25">
            <v>333.45</v>
          </cell>
        </row>
        <row r="26">
          <cell r="A26">
            <v>23</v>
          </cell>
          <cell r="B26">
            <v>2039</v>
          </cell>
          <cell r="C26">
            <v>0.85</v>
          </cell>
          <cell r="D26">
            <v>1.05</v>
          </cell>
          <cell r="E26">
            <v>1.25</v>
          </cell>
          <cell r="F26">
            <v>0.02</v>
          </cell>
          <cell r="G26">
            <v>115.95</v>
          </cell>
          <cell r="H26">
            <v>136.4</v>
          </cell>
          <cell r="I26">
            <v>6.35</v>
          </cell>
          <cell r="J26">
            <v>7.4</v>
          </cell>
          <cell r="K26">
            <v>129.14999999999998</v>
          </cell>
          <cell r="L26">
            <v>123</v>
          </cell>
          <cell r="M26">
            <v>108.3</v>
          </cell>
          <cell r="N26">
            <v>104.45</v>
          </cell>
          <cell r="O26">
            <v>98.25</v>
          </cell>
          <cell r="P26">
            <v>126.85000000000001</v>
          </cell>
          <cell r="Q26">
            <v>138.45000000000002</v>
          </cell>
          <cell r="R26">
            <v>107.5</v>
          </cell>
          <cell r="S26">
            <v>6.35</v>
          </cell>
          <cell r="T26">
            <v>6.05</v>
          </cell>
          <cell r="U26">
            <v>5.5500000000000007</v>
          </cell>
          <cell r="V26">
            <v>7.8000000000000007</v>
          </cell>
          <cell r="W26">
            <v>17.8</v>
          </cell>
          <cell r="X26">
            <v>51.65</v>
          </cell>
          <cell r="Y26">
            <v>77.55</v>
          </cell>
          <cell r="Z26">
            <v>129.14999999999998</v>
          </cell>
          <cell r="AA26">
            <v>76.2</v>
          </cell>
          <cell r="AB26">
            <v>15.149999999999999</v>
          </cell>
          <cell r="AC26">
            <v>43.9</v>
          </cell>
          <cell r="AD26">
            <v>65.900000000000006</v>
          </cell>
          <cell r="AE26">
            <v>109.80000000000001</v>
          </cell>
          <cell r="AF26">
            <v>64.75</v>
          </cell>
          <cell r="AG26">
            <v>136.4</v>
          </cell>
          <cell r="AH26">
            <v>116.95</v>
          </cell>
          <cell r="AI26">
            <v>111.25</v>
          </cell>
          <cell r="AJ26">
            <v>100.55</v>
          </cell>
          <cell r="AK26">
            <v>88.6</v>
          </cell>
          <cell r="AL26">
            <v>6.05</v>
          </cell>
          <cell r="AM26">
            <v>51.65</v>
          </cell>
          <cell r="AN26">
            <v>77.55</v>
          </cell>
          <cell r="AO26">
            <v>129.14999999999998</v>
          </cell>
          <cell r="AP26">
            <v>6.05</v>
          </cell>
          <cell r="AQ26">
            <v>6.05</v>
          </cell>
          <cell r="AR26">
            <v>6.05</v>
          </cell>
          <cell r="AS26">
            <v>6.05</v>
          </cell>
          <cell r="AT26">
            <v>6.05</v>
          </cell>
          <cell r="AU26">
            <v>6.05</v>
          </cell>
          <cell r="AV26">
            <v>129.14999999999998</v>
          </cell>
          <cell r="AW26">
            <v>0.19600000000000001</v>
          </cell>
          <cell r="AX26">
            <v>0.19600000000000001</v>
          </cell>
          <cell r="AY26">
            <v>0.19600000000000001</v>
          </cell>
          <cell r="AZ26">
            <v>0.19600000000000001</v>
          </cell>
          <cell r="BA26">
            <v>0.19600000000000001</v>
          </cell>
          <cell r="BB26">
            <v>19.863750562144144</v>
          </cell>
          <cell r="BC26">
            <v>17.480100494686845</v>
          </cell>
          <cell r="BD26">
            <v>1.4158409953928535</v>
          </cell>
          <cell r="BE26">
            <v>1.6</v>
          </cell>
          <cell r="BF26">
            <v>2.5499999999999998</v>
          </cell>
          <cell r="BG26">
            <v>1.9500000000000002</v>
          </cell>
          <cell r="BH26">
            <v>3.15</v>
          </cell>
          <cell r="BI26">
            <v>2.8499999999999996</v>
          </cell>
          <cell r="BJ26">
            <v>116.25</v>
          </cell>
          <cell r="BK26">
            <v>96.850000000000009</v>
          </cell>
          <cell r="BL26">
            <v>77.55</v>
          </cell>
          <cell r="BM26">
            <v>6.2</v>
          </cell>
          <cell r="BN26">
            <v>0.28316819907857066</v>
          </cell>
          <cell r="BO26">
            <v>77.300000000000011</v>
          </cell>
          <cell r="BP26">
            <v>102.05</v>
          </cell>
          <cell r="BQ26">
            <v>108.2</v>
          </cell>
          <cell r="BR26">
            <v>112.10000000000001</v>
          </cell>
          <cell r="BS26">
            <v>112.85</v>
          </cell>
          <cell r="BT26">
            <v>108.2</v>
          </cell>
          <cell r="BU26">
            <v>106.64999999999999</v>
          </cell>
          <cell r="BV26">
            <v>108.2</v>
          </cell>
          <cell r="BW26">
            <v>117.5</v>
          </cell>
          <cell r="BX26">
            <v>114.39999999999999</v>
          </cell>
          <cell r="BY26">
            <v>103.6</v>
          </cell>
          <cell r="BZ26">
            <v>118.10000000000001</v>
          </cell>
          <cell r="CA26">
            <v>113.65</v>
          </cell>
          <cell r="CB26">
            <v>105.9</v>
          </cell>
          <cell r="CC26">
            <v>115.19999999999999</v>
          </cell>
          <cell r="CD26">
            <v>112.85</v>
          </cell>
          <cell r="CE26">
            <v>6.05</v>
          </cell>
          <cell r="CF26">
            <v>6.05</v>
          </cell>
          <cell r="CG26">
            <v>6.2</v>
          </cell>
          <cell r="CH26">
            <v>6.2</v>
          </cell>
          <cell r="CI26">
            <v>5.9499999999999993</v>
          </cell>
          <cell r="CJ26">
            <v>9.4499999999999993</v>
          </cell>
          <cell r="CK26">
            <v>8.9499999999999993</v>
          </cell>
          <cell r="CL26">
            <v>4.8</v>
          </cell>
          <cell r="CM26">
            <v>14.850000000000001</v>
          </cell>
          <cell r="CN26">
            <v>6.1</v>
          </cell>
          <cell r="CO26">
            <v>2.3000000000000003</v>
          </cell>
          <cell r="CP26">
            <v>340.09999999999997</v>
          </cell>
        </row>
        <row r="27">
          <cell r="A27">
            <v>24</v>
          </cell>
          <cell r="B27">
            <v>2040</v>
          </cell>
          <cell r="C27">
            <v>0.85</v>
          </cell>
          <cell r="D27">
            <v>1.05</v>
          </cell>
          <cell r="E27">
            <v>1.25</v>
          </cell>
          <cell r="F27">
            <v>0.02</v>
          </cell>
          <cell r="G27">
            <v>118.25</v>
          </cell>
          <cell r="H27">
            <v>139.14999999999998</v>
          </cell>
          <cell r="I27">
            <v>6.45</v>
          </cell>
          <cell r="J27">
            <v>7.55</v>
          </cell>
          <cell r="K27">
            <v>131.75</v>
          </cell>
          <cell r="L27">
            <v>125.45</v>
          </cell>
          <cell r="M27">
            <v>110.45</v>
          </cell>
          <cell r="N27">
            <v>106.5</v>
          </cell>
          <cell r="O27">
            <v>100.19999999999999</v>
          </cell>
          <cell r="P27">
            <v>129.4</v>
          </cell>
          <cell r="Q27">
            <v>141.19999999999999</v>
          </cell>
          <cell r="R27">
            <v>109.65</v>
          </cell>
          <cell r="S27">
            <v>6.45</v>
          </cell>
          <cell r="T27">
            <v>6.15</v>
          </cell>
          <cell r="U27">
            <v>5.6999999999999993</v>
          </cell>
          <cell r="V27">
            <v>7.95</v>
          </cell>
          <cell r="W27">
            <v>18.149999999999999</v>
          </cell>
          <cell r="X27">
            <v>52.65</v>
          </cell>
          <cell r="Y27">
            <v>79.099999999999994</v>
          </cell>
          <cell r="Z27">
            <v>131.75</v>
          </cell>
          <cell r="AA27">
            <v>77.75</v>
          </cell>
          <cell r="AB27">
            <v>15.45</v>
          </cell>
          <cell r="AC27">
            <v>44.75</v>
          </cell>
          <cell r="AD27">
            <v>67.25</v>
          </cell>
          <cell r="AE27">
            <v>112</v>
          </cell>
          <cell r="AF27">
            <v>66.100000000000009</v>
          </cell>
          <cell r="AG27">
            <v>139.14999999999998</v>
          </cell>
          <cell r="AH27">
            <v>119.3</v>
          </cell>
          <cell r="AI27">
            <v>113.45</v>
          </cell>
          <cell r="AJ27">
            <v>102.6</v>
          </cell>
          <cell r="AK27">
            <v>90.35</v>
          </cell>
          <cell r="AL27">
            <v>6.15</v>
          </cell>
          <cell r="AM27">
            <v>52.65</v>
          </cell>
          <cell r="AN27">
            <v>79.099999999999994</v>
          </cell>
          <cell r="AO27">
            <v>131.75</v>
          </cell>
          <cell r="AP27">
            <v>6.15</v>
          </cell>
          <cell r="AQ27">
            <v>6.15</v>
          </cell>
          <cell r="AR27">
            <v>6.15</v>
          </cell>
          <cell r="AS27">
            <v>6.15</v>
          </cell>
          <cell r="AT27">
            <v>6.15</v>
          </cell>
          <cell r="AU27">
            <v>6.15</v>
          </cell>
          <cell r="AV27">
            <v>131.75</v>
          </cell>
          <cell r="AW27">
            <v>0.19600000000000001</v>
          </cell>
          <cell r="AX27">
            <v>0.19600000000000001</v>
          </cell>
          <cell r="AY27">
            <v>0.19600000000000001</v>
          </cell>
          <cell r="AZ27">
            <v>0.19600000000000001</v>
          </cell>
          <cell r="BA27">
            <v>0.19600000000000001</v>
          </cell>
          <cell r="BB27">
            <v>19.863750562144144</v>
          </cell>
          <cell r="BC27">
            <v>17.480100494686845</v>
          </cell>
          <cell r="BD27">
            <v>1.4158409953928535</v>
          </cell>
          <cell r="BE27">
            <v>1.6500000000000001</v>
          </cell>
          <cell r="BF27">
            <v>2.6</v>
          </cell>
          <cell r="BG27">
            <v>1.9500000000000002</v>
          </cell>
          <cell r="BH27">
            <v>3.25</v>
          </cell>
          <cell r="BI27">
            <v>2.9</v>
          </cell>
          <cell r="BJ27">
            <v>118.6</v>
          </cell>
          <cell r="BK27">
            <v>98.800000000000011</v>
          </cell>
          <cell r="BL27">
            <v>79.099999999999994</v>
          </cell>
          <cell r="BM27">
            <v>6.3</v>
          </cell>
          <cell r="BN27">
            <v>0.28316819907857066</v>
          </cell>
          <cell r="BO27">
            <v>78.849999999999994</v>
          </cell>
          <cell r="BP27">
            <v>104.1</v>
          </cell>
          <cell r="BQ27">
            <v>110.39999999999999</v>
          </cell>
          <cell r="BR27">
            <v>114.35000000000001</v>
          </cell>
          <cell r="BS27">
            <v>115.1</v>
          </cell>
          <cell r="BT27">
            <v>110.39999999999999</v>
          </cell>
          <cell r="BU27">
            <v>108.80000000000001</v>
          </cell>
          <cell r="BV27">
            <v>110.39999999999999</v>
          </cell>
          <cell r="BW27">
            <v>119.85</v>
          </cell>
          <cell r="BX27">
            <v>116.7</v>
          </cell>
          <cell r="BY27">
            <v>105.64999999999999</v>
          </cell>
          <cell r="BZ27">
            <v>120.5</v>
          </cell>
          <cell r="CA27">
            <v>115.9</v>
          </cell>
          <cell r="CB27">
            <v>108</v>
          </cell>
          <cell r="CC27">
            <v>117.5</v>
          </cell>
          <cell r="CD27">
            <v>115.1</v>
          </cell>
          <cell r="CE27">
            <v>6.15</v>
          </cell>
          <cell r="CF27">
            <v>6.15</v>
          </cell>
          <cell r="CG27">
            <v>6.3</v>
          </cell>
          <cell r="CH27">
            <v>6.3</v>
          </cell>
          <cell r="CI27">
            <v>6.05</v>
          </cell>
          <cell r="CJ27">
            <v>9.6</v>
          </cell>
          <cell r="CK27">
            <v>9.15</v>
          </cell>
          <cell r="CL27">
            <v>4.9000000000000004</v>
          </cell>
          <cell r="CM27">
            <v>15.149999999999999</v>
          </cell>
          <cell r="CN27">
            <v>6.25</v>
          </cell>
          <cell r="CO27">
            <v>2.3499999999999996</v>
          </cell>
          <cell r="CP27">
            <v>346.9</v>
          </cell>
        </row>
        <row r="28">
          <cell r="A28">
            <v>25</v>
          </cell>
          <cell r="B28">
            <v>2041</v>
          </cell>
          <cell r="C28">
            <v>0.85</v>
          </cell>
          <cell r="D28">
            <v>1.05</v>
          </cell>
          <cell r="E28">
            <v>1.25</v>
          </cell>
          <cell r="F28">
            <v>0.02</v>
          </cell>
          <cell r="G28">
            <v>120.64999999999999</v>
          </cell>
          <cell r="H28">
            <v>141.9</v>
          </cell>
          <cell r="I28">
            <v>6.6000000000000005</v>
          </cell>
          <cell r="J28">
            <v>7.7</v>
          </cell>
          <cell r="K28">
            <v>134.4</v>
          </cell>
          <cell r="L28">
            <v>127.95</v>
          </cell>
          <cell r="M28">
            <v>112.65</v>
          </cell>
          <cell r="N28">
            <v>108.65</v>
          </cell>
          <cell r="O28">
            <v>102.2</v>
          </cell>
          <cell r="P28">
            <v>131.94999999999999</v>
          </cell>
          <cell r="Q28">
            <v>144.04999999999998</v>
          </cell>
          <cell r="R28">
            <v>111.85000000000001</v>
          </cell>
          <cell r="S28">
            <v>6.6000000000000005</v>
          </cell>
          <cell r="T28">
            <v>6.25</v>
          </cell>
          <cell r="U28">
            <v>5.8</v>
          </cell>
          <cell r="V28">
            <v>8.1000000000000014</v>
          </cell>
          <cell r="W28">
            <v>18.5</v>
          </cell>
          <cell r="X28">
            <v>53.7</v>
          </cell>
          <cell r="Y28">
            <v>80.649999999999991</v>
          </cell>
          <cell r="Z28">
            <v>134.4</v>
          </cell>
          <cell r="AA28">
            <v>79.3</v>
          </cell>
          <cell r="AB28">
            <v>15.75</v>
          </cell>
          <cell r="AC28">
            <v>45.650000000000006</v>
          </cell>
          <cell r="AD28">
            <v>68.550000000000011</v>
          </cell>
          <cell r="AE28">
            <v>114.25</v>
          </cell>
          <cell r="AF28">
            <v>67.400000000000006</v>
          </cell>
          <cell r="AG28">
            <v>141.9</v>
          </cell>
          <cell r="AH28">
            <v>121.7</v>
          </cell>
          <cell r="AI28">
            <v>115.75</v>
          </cell>
          <cell r="AJ28">
            <v>104.65</v>
          </cell>
          <cell r="AK28">
            <v>92.15</v>
          </cell>
          <cell r="AL28">
            <v>6.25</v>
          </cell>
          <cell r="AM28">
            <v>53.7</v>
          </cell>
          <cell r="AN28">
            <v>80.649999999999991</v>
          </cell>
          <cell r="AO28">
            <v>134.4</v>
          </cell>
          <cell r="AP28">
            <v>6.25</v>
          </cell>
          <cell r="AQ28">
            <v>6.25</v>
          </cell>
          <cell r="AR28">
            <v>6.25</v>
          </cell>
          <cell r="AS28">
            <v>6.25</v>
          </cell>
          <cell r="AT28">
            <v>6.25</v>
          </cell>
          <cell r="AU28">
            <v>6.25</v>
          </cell>
          <cell r="AV28">
            <v>134.4</v>
          </cell>
          <cell r="AW28">
            <v>0.19600000000000001</v>
          </cell>
          <cell r="AX28">
            <v>0.19600000000000001</v>
          </cell>
          <cell r="AY28">
            <v>0.19600000000000001</v>
          </cell>
          <cell r="AZ28">
            <v>0.19600000000000001</v>
          </cell>
          <cell r="BA28">
            <v>0.19600000000000001</v>
          </cell>
          <cell r="BB28">
            <v>19.863750562144144</v>
          </cell>
          <cell r="BC28">
            <v>17.480100494686845</v>
          </cell>
          <cell r="BD28">
            <v>1.4158409953928535</v>
          </cell>
          <cell r="BE28">
            <v>1.7000000000000002</v>
          </cell>
          <cell r="BF28">
            <v>2.6500000000000004</v>
          </cell>
          <cell r="BG28">
            <v>2</v>
          </cell>
          <cell r="BH28">
            <v>3.3000000000000003</v>
          </cell>
          <cell r="BI28">
            <v>3</v>
          </cell>
          <cell r="BJ28">
            <v>120.95</v>
          </cell>
          <cell r="BK28">
            <v>100.75</v>
          </cell>
          <cell r="BL28">
            <v>80.649999999999991</v>
          </cell>
          <cell r="BM28">
            <v>6.45</v>
          </cell>
          <cell r="BN28">
            <v>0.28316819907857066</v>
          </cell>
          <cell r="BO28">
            <v>80.399999999999991</v>
          </cell>
          <cell r="BP28">
            <v>106.15</v>
          </cell>
          <cell r="BQ28">
            <v>112.6</v>
          </cell>
          <cell r="BR28">
            <v>116.6</v>
          </cell>
          <cell r="BS28">
            <v>117.4</v>
          </cell>
          <cell r="BT28">
            <v>112.6</v>
          </cell>
          <cell r="BU28">
            <v>111</v>
          </cell>
          <cell r="BV28">
            <v>112.6</v>
          </cell>
          <cell r="BW28">
            <v>122.25</v>
          </cell>
          <cell r="BX28">
            <v>119</v>
          </cell>
          <cell r="BY28">
            <v>107.75</v>
          </cell>
          <cell r="BZ28">
            <v>122.89999999999999</v>
          </cell>
          <cell r="CA28">
            <v>118.2</v>
          </cell>
          <cell r="CB28">
            <v>110.19999999999999</v>
          </cell>
          <cell r="CC28">
            <v>119.85</v>
          </cell>
          <cell r="CD28">
            <v>117.4</v>
          </cell>
          <cell r="CE28">
            <v>6.25</v>
          </cell>
          <cell r="CF28">
            <v>6.25</v>
          </cell>
          <cell r="CG28">
            <v>6.45</v>
          </cell>
          <cell r="CH28">
            <v>6.45</v>
          </cell>
          <cell r="CI28">
            <v>6.2</v>
          </cell>
          <cell r="CJ28">
            <v>9.8000000000000007</v>
          </cell>
          <cell r="CK28">
            <v>9.3500000000000014</v>
          </cell>
          <cell r="CL28">
            <v>5</v>
          </cell>
          <cell r="CM28">
            <v>15.45</v>
          </cell>
          <cell r="CN28">
            <v>6.35</v>
          </cell>
          <cell r="CO28">
            <v>2.4</v>
          </cell>
          <cell r="CP28">
            <v>353.84999999999997</v>
          </cell>
        </row>
        <row r="29">
          <cell r="A29">
            <v>26</v>
          </cell>
          <cell r="B29">
            <v>2042</v>
          </cell>
          <cell r="C29">
            <v>0.85</v>
          </cell>
          <cell r="D29">
            <v>1.05</v>
          </cell>
          <cell r="E29">
            <v>1.25</v>
          </cell>
          <cell r="F29">
            <v>0.02</v>
          </cell>
          <cell r="G29">
            <v>123.05</v>
          </cell>
          <cell r="H29">
            <v>144.75</v>
          </cell>
          <cell r="I29">
            <v>6.75</v>
          </cell>
          <cell r="J29">
            <v>7.8500000000000005</v>
          </cell>
          <cell r="K29">
            <v>137.05000000000001</v>
          </cell>
          <cell r="L29">
            <v>130.5</v>
          </cell>
          <cell r="M29">
            <v>114.9</v>
          </cell>
          <cell r="N29">
            <v>110.8</v>
          </cell>
          <cell r="O29">
            <v>104.25</v>
          </cell>
          <cell r="P29">
            <v>134.60000000000002</v>
          </cell>
          <cell r="Q29">
            <v>146.9</v>
          </cell>
          <cell r="R29">
            <v>114.1</v>
          </cell>
          <cell r="S29">
            <v>6.75</v>
          </cell>
          <cell r="T29">
            <v>6.4</v>
          </cell>
          <cell r="U29">
            <v>5.8999999999999995</v>
          </cell>
          <cell r="V29">
            <v>8.2999999999999989</v>
          </cell>
          <cell r="W29">
            <v>18.850000000000001</v>
          </cell>
          <cell r="X29">
            <v>54.800000000000004</v>
          </cell>
          <cell r="Y29">
            <v>82.300000000000011</v>
          </cell>
          <cell r="Z29">
            <v>137.05000000000001</v>
          </cell>
          <cell r="AA29">
            <v>80.900000000000006</v>
          </cell>
          <cell r="AB29">
            <v>16</v>
          </cell>
          <cell r="AC29">
            <v>46.6</v>
          </cell>
          <cell r="AD29">
            <v>69.95</v>
          </cell>
          <cell r="AE29">
            <v>116.5</v>
          </cell>
          <cell r="AF29">
            <v>68.75</v>
          </cell>
          <cell r="AG29">
            <v>144.75</v>
          </cell>
          <cell r="AH29">
            <v>124.1</v>
          </cell>
          <cell r="AI29">
            <v>118.05</v>
          </cell>
          <cell r="AJ29">
            <v>106.7</v>
          </cell>
          <cell r="AK29">
            <v>94</v>
          </cell>
          <cell r="AL29">
            <v>6.4</v>
          </cell>
          <cell r="AM29">
            <v>54.800000000000004</v>
          </cell>
          <cell r="AN29">
            <v>82.300000000000011</v>
          </cell>
          <cell r="AO29">
            <v>137.05000000000001</v>
          </cell>
          <cell r="AP29">
            <v>6.4</v>
          </cell>
          <cell r="AQ29">
            <v>6.4</v>
          </cell>
          <cell r="AR29">
            <v>6.4</v>
          </cell>
          <cell r="AS29">
            <v>6.4</v>
          </cell>
          <cell r="AT29">
            <v>6.4</v>
          </cell>
          <cell r="AU29">
            <v>6.4</v>
          </cell>
          <cell r="AV29">
            <v>137.05000000000001</v>
          </cell>
          <cell r="AW29">
            <v>0.19600000000000001</v>
          </cell>
          <cell r="AX29">
            <v>0.19600000000000001</v>
          </cell>
          <cell r="AY29">
            <v>0.19600000000000001</v>
          </cell>
          <cell r="AZ29">
            <v>0.19600000000000001</v>
          </cell>
          <cell r="BA29">
            <v>0.19600000000000001</v>
          </cell>
          <cell r="BB29">
            <v>19.863750562144144</v>
          </cell>
          <cell r="BC29">
            <v>17.480100494686845</v>
          </cell>
          <cell r="BD29">
            <v>1.4158409953928535</v>
          </cell>
          <cell r="BE29">
            <v>1.7000000000000002</v>
          </cell>
          <cell r="BF29">
            <v>2.7</v>
          </cell>
          <cell r="BG29">
            <v>2.0499999999999998</v>
          </cell>
          <cell r="BH29">
            <v>3.35</v>
          </cell>
          <cell r="BI29">
            <v>3.05</v>
          </cell>
          <cell r="BJ29">
            <v>123.35000000000001</v>
          </cell>
          <cell r="BK29">
            <v>102.8</v>
          </cell>
          <cell r="BL29">
            <v>82.300000000000011</v>
          </cell>
          <cell r="BM29">
            <v>6.5500000000000007</v>
          </cell>
          <cell r="BN29">
            <v>0.28316819907857066</v>
          </cell>
          <cell r="BO29">
            <v>82.05</v>
          </cell>
          <cell r="BP29">
            <v>108.3</v>
          </cell>
          <cell r="BQ29">
            <v>114.85</v>
          </cell>
          <cell r="BR29">
            <v>118.94999999999999</v>
          </cell>
          <cell r="BS29">
            <v>119.75</v>
          </cell>
          <cell r="BT29">
            <v>114.85</v>
          </cell>
          <cell r="BU29">
            <v>113.2</v>
          </cell>
          <cell r="BV29">
            <v>114.85</v>
          </cell>
          <cell r="BW29">
            <v>124.7</v>
          </cell>
          <cell r="BX29">
            <v>121.4</v>
          </cell>
          <cell r="BY29">
            <v>109.9</v>
          </cell>
          <cell r="BZ29">
            <v>125.35</v>
          </cell>
          <cell r="CA29">
            <v>120.60000000000001</v>
          </cell>
          <cell r="CB29">
            <v>112.4</v>
          </cell>
          <cell r="CC29">
            <v>122.25</v>
          </cell>
          <cell r="CD29">
            <v>119.75</v>
          </cell>
          <cell r="CE29">
            <v>6.4</v>
          </cell>
          <cell r="CF29">
            <v>6.4</v>
          </cell>
          <cell r="CG29">
            <v>6.5500000000000007</v>
          </cell>
          <cell r="CH29">
            <v>6.5500000000000007</v>
          </cell>
          <cell r="CI29">
            <v>6.3</v>
          </cell>
          <cell r="CJ29">
            <v>10</v>
          </cell>
          <cell r="CK29">
            <v>9.5</v>
          </cell>
          <cell r="CL29">
            <v>5.0999999999999996</v>
          </cell>
          <cell r="CM29">
            <v>15.75</v>
          </cell>
          <cell r="CN29">
            <v>6.5</v>
          </cell>
          <cell r="CO29">
            <v>2.4500000000000002</v>
          </cell>
          <cell r="CP29">
            <v>360.95</v>
          </cell>
        </row>
        <row r="30">
          <cell r="A30">
            <v>27</v>
          </cell>
          <cell r="B30">
            <v>2043</v>
          </cell>
          <cell r="C30">
            <v>0.85</v>
          </cell>
          <cell r="D30">
            <v>1.05</v>
          </cell>
          <cell r="E30">
            <v>1.25</v>
          </cell>
          <cell r="F30">
            <v>0.02</v>
          </cell>
          <cell r="G30">
            <v>125.5</v>
          </cell>
          <cell r="H30">
            <v>147.65</v>
          </cell>
          <cell r="I30">
            <v>6.8500000000000005</v>
          </cell>
          <cell r="J30">
            <v>8.0500000000000007</v>
          </cell>
          <cell r="K30">
            <v>139.80000000000001</v>
          </cell>
          <cell r="L30">
            <v>133.1</v>
          </cell>
          <cell r="M30">
            <v>117.2</v>
          </cell>
          <cell r="N30">
            <v>113.05</v>
          </cell>
          <cell r="O30">
            <v>106.35</v>
          </cell>
          <cell r="P30">
            <v>137.30000000000001</v>
          </cell>
          <cell r="Q30">
            <v>149.85</v>
          </cell>
          <cell r="R30">
            <v>116.4</v>
          </cell>
          <cell r="S30">
            <v>6.8500000000000005</v>
          </cell>
          <cell r="T30">
            <v>6.5500000000000007</v>
          </cell>
          <cell r="U30">
            <v>6</v>
          </cell>
          <cell r="V30">
            <v>8.4499999999999993</v>
          </cell>
          <cell r="W30">
            <v>19.25</v>
          </cell>
          <cell r="X30">
            <v>55.9</v>
          </cell>
          <cell r="Y30">
            <v>83.9</v>
          </cell>
          <cell r="Z30">
            <v>139.80000000000001</v>
          </cell>
          <cell r="AA30">
            <v>82.5</v>
          </cell>
          <cell r="AB30">
            <v>16.350000000000001</v>
          </cell>
          <cell r="AC30">
            <v>47.5</v>
          </cell>
          <cell r="AD30">
            <v>71.3</v>
          </cell>
          <cell r="AE30">
            <v>118.85</v>
          </cell>
          <cell r="AF30">
            <v>70.149999999999991</v>
          </cell>
          <cell r="AG30">
            <v>147.65</v>
          </cell>
          <cell r="AH30">
            <v>126.6</v>
          </cell>
          <cell r="AI30">
            <v>120.39999999999999</v>
          </cell>
          <cell r="AJ30">
            <v>108.85</v>
          </cell>
          <cell r="AK30">
            <v>95.9</v>
          </cell>
          <cell r="AL30">
            <v>6.5500000000000007</v>
          </cell>
          <cell r="AM30">
            <v>55.9</v>
          </cell>
          <cell r="AN30">
            <v>83.9</v>
          </cell>
          <cell r="AO30">
            <v>139.80000000000001</v>
          </cell>
          <cell r="AP30">
            <v>6.5500000000000007</v>
          </cell>
          <cell r="AQ30">
            <v>6.5500000000000007</v>
          </cell>
          <cell r="AR30">
            <v>6.5500000000000007</v>
          </cell>
          <cell r="AS30">
            <v>6.5500000000000007</v>
          </cell>
          <cell r="AT30">
            <v>6.5500000000000007</v>
          </cell>
          <cell r="AU30">
            <v>6.5500000000000007</v>
          </cell>
          <cell r="AV30">
            <v>139.80000000000001</v>
          </cell>
          <cell r="AW30">
            <v>0.19600000000000001</v>
          </cell>
          <cell r="AX30">
            <v>0.19600000000000001</v>
          </cell>
          <cell r="AY30">
            <v>0.19600000000000001</v>
          </cell>
          <cell r="AZ30">
            <v>0.19600000000000001</v>
          </cell>
          <cell r="BA30">
            <v>0.19600000000000001</v>
          </cell>
          <cell r="BB30">
            <v>19.863750562144144</v>
          </cell>
          <cell r="BC30">
            <v>17.480100494686845</v>
          </cell>
          <cell r="BD30">
            <v>1.4158409953928535</v>
          </cell>
          <cell r="BE30">
            <v>1.75</v>
          </cell>
          <cell r="BF30">
            <v>2.75</v>
          </cell>
          <cell r="BG30">
            <v>2.1</v>
          </cell>
          <cell r="BH30">
            <v>3.4499999999999997</v>
          </cell>
          <cell r="BI30">
            <v>3.1</v>
          </cell>
          <cell r="BJ30">
            <v>125.85000000000001</v>
          </cell>
          <cell r="BK30">
            <v>104.85</v>
          </cell>
          <cell r="BL30">
            <v>83.9</v>
          </cell>
          <cell r="BM30">
            <v>6.7</v>
          </cell>
          <cell r="BN30">
            <v>0.28316819907857066</v>
          </cell>
          <cell r="BO30">
            <v>83.65</v>
          </cell>
          <cell r="BP30">
            <v>110.45</v>
          </cell>
          <cell r="BQ30">
            <v>117.15</v>
          </cell>
          <cell r="BR30">
            <v>121.30000000000001</v>
          </cell>
          <cell r="BS30">
            <v>122.15</v>
          </cell>
          <cell r="BT30">
            <v>117.15</v>
          </cell>
          <cell r="BU30">
            <v>115.45</v>
          </cell>
          <cell r="BV30">
            <v>117.15</v>
          </cell>
          <cell r="BW30">
            <v>127.2</v>
          </cell>
          <cell r="BX30">
            <v>123.85</v>
          </cell>
          <cell r="BY30">
            <v>112.10000000000001</v>
          </cell>
          <cell r="BZ30">
            <v>127.85</v>
          </cell>
          <cell r="CA30">
            <v>123</v>
          </cell>
          <cell r="CB30">
            <v>114.65</v>
          </cell>
          <cell r="CC30">
            <v>124.65</v>
          </cell>
          <cell r="CD30">
            <v>122.15</v>
          </cell>
          <cell r="CE30">
            <v>6.5500000000000007</v>
          </cell>
          <cell r="CF30">
            <v>6.5500000000000007</v>
          </cell>
          <cell r="CG30">
            <v>6.7</v>
          </cell>
          <cell r="CH30">
            <v>6.7</v>
          </cell>
          <cell r="CI30">
            <v>6.45</v>
          </cell>
          <cell r="CJ30">
            <v>10.199999999999999</v>
          </cell>
          <cell r="CK30">
            <v>9.6999999999999993</v>
          </cell>
          <cell r="CL30">
            <v>5.2</v>
          </cell>
          <cell r="CM30">
            <v>16.05</v>
          </cell>
          <cell r="CN30">
            <v>6.6000000000000005</v>
          </cell>
          <cell r="CO30">
            <v>2.5</v>
          </cell>
          <cell r="CP30">
            <v>368.15</v>
          </cell>
        </row>
        <row r="31">
          <cell r="A31">
            <v>28</v>
          </cell>
          <cell r="B31">
            <v>2044</v>
          </cell>
          <cell r="C31">
            <v>0.85</v>
          </cell>
          <cell r="D31">
            <v>1.05</v>
          </cell>
          <cell r="E31">
            <v>1.25</v>
          </cell>
          <cell r="F31">
            <v>0.02</v>
          </cell>
          <cell r="G31">
            <v>128</v>
          </cell>
          <cell r="H31">
            <v>150.6</v>
          </cell>
          <cell r="I31">
            <v>7</v>
          </cell>
          <cell r="J31">
            <v>8.1999999999999993</v>
          </cell>
          <cell r="K31">
            <v>142.6</v>
          </cell>
          <cell r="L31">
            <v>135.80000000000001</v>
          </cell>
          <cell r="M31">
            <v>119.55</v>
          </cell>
          <cell r="N31">
            <v>115.3</v>
          </cell>
          <cell r="O31">
            <v>108.45</v>
          </cell>
          <cell r="P31">
            <v>140.05000000000001</v>
          </cell>
          <cell r="Q31">
            <v>152.85</v>
          </cell>
          <cell r="R31">
            <v>118.69999999999999</v>
          </cell>
          <cell r="S31">
            <v>7</v>
          </cell>
          <cell r="T31">
            <v>6.65</v>
          </cell>
          <cell r="U31">
            <v>6.15</v>
          </cell>
          <cell r="V31">
            <v>8.6</v>
          </cell>
          <cell r="W31">
            <v>19.650000000000002</v>
          </cell>
          <cell r="X31">
            <v>57</v>
          </cell>
          <cell r="Y31">
            <v>85.600000000000009</v>
          </cell>
          <cell r="Z31">
            <v>142.6</v>
          </cell>
          <cell r="AA31">
            <v>84.149999999999991</v>
          </cell>
          <cell r="AB31">
            <v>16.7</v>
          </cell>
          <cell r="AC31">
            <v>48.449999999999996</v>
          </cell>
          <cell r="AD31">
            <v>72.75</v>
          </cell>
          <cell r="AE31">
            <v>121.19999999999999</v>
          </cell>
          <cell r="AF31">
            <v>71.55</v>
          </cell>
          <cell r="AG31">
            <v>150.6</v>
          </cell>
          <cell r="AH31">
            <v>129.14999999999998</v>
          </cell>
          <cell r="AI31">
            <v>122.8</v>
          </cell>
          <cell r="AJ31">
            <v>111.05000000000001</v>
          </cell>
          <cell r="AK31">
            <v>97.8</v>
          </cell>
          <cell r="AL31">
            <v>6.65</v>
          </cell>
          <cell r="AM31">
            <v>57</v>
          </cell>
          <cell r="AN31">
            <v>85.600000000000009</v>
          </cell>
          <cell r="AO31">
            <v>142.6</v>
          </cell>
          <cell r="AP31">
            <v>6.65</v>
          </cell>
          <cell r="AQ31">
            <v>6.65</v>
          </cell>
          <cell r="AR31">
            <v>6.65</v>
          </cell>
          <cell r="AS31">
            <v>6.65</v>
          </cell>
          <cell r="AT31">
            <v>6.65</v>
          </cell>
          <cell r="AU31">
            <v>6.65</v>
          </cell>
          <cell r="AV31">
            <v>142.6</v>
          </cell>
          <cell r="AW31">
            <v>0.19600000000000001</v>
          </cell>
          <cell r="AX31">
            <v>0.19600000000000001</v>
          </cell>
          <cell r="AY31">
            <v>0.19600000000000001</v>
          </cell>
          <cell r="AZ31">
            <v>0.19600000000000001</v>
          </cell>
          <cell r="BA31">
            <v>0.19600000000000001</v>
          </cell>
          <cell r="BB31">
            <v>19.863750562144144</v>
          </cell>
          <cell r="BC31">
            <v>17.480100494686845</v>
          </cell>
          <cell r="BD31">
            <v>1.4158409953928535</v>
          </cell>
          <cell r="BE31">
            <v>1.7999999999999998</v>
          </cell>
          <cell r="BF31">
            <v>2.8000000000000003</v>
          </cell>
          <cell r="BG31">
            <v>2.15</v>
          </cell>
          <cell r="BH31">
            <v>3.5</v>
          </cell>
          <cell r="BI31">
            <v>3.15</v>
          </cell>
          <cell r="BJ31">
            <v>128.35000000000002</v>
          </cell>
          <cell r="BK31">
            <v>106.95</v>
          </cell>
          <cell r="BL31">
            <v>85.600000000000009</v>
          </cell>
          <cell r="BM31">
            <v>6.8500000000000005</v>
          </cell>
          <cell r="BN31">
            <v>0.28316819907857066</v>
          </cell>
          <cell r="BO31">
            <v>85.35</v>
          </cell>
          <cell r="BP31">
            <v>112.65</v>
          </cell>
          <cell r="BQ31">
            <v>119.5</v>
          </cell>
          <cell r="BR31">
            <v>123.75</v>
          </cell>
          <cell r="BS31">
            <v>124.60000000000001</v>
          </cell>
          <cell r="BT31">
            <v>119.5</v>
          </cell>
          <cell r="BU31">
            <v>117.8</v>
          </cell>
          <cell r="BV31">
            <v>119.5</v>
          </cell>
          <cell r="BW31">
            <v>129.70000000000002</v>
          </cell>
          <cell r="BX31">
            <v>126.30000000000001</v>
          </cell>
          <cell r="BY31">
            <v>114.35000000000001</v>
          </cell>
          <cell r="BZ31">
            <v>130.39999999999998</v>
          </cell>
          <cell r="CA31">
            <v>125.45</v>
          </cell>
          <cell r="CB31">
            <v>116.89999999999999</v>
          </cell>
          <cell r="CC31">
            <v>127.15</v>
          </cell>
          <cell r="CD31">
            <v>124.60000000000001</v>
          </cell>
          <cell r="CE31">
            <v>6.65</v>
          </cell>
          <cell r="CF31">
            <v>6.65</v>
          </cell>
          <cell r="CG31">
            <v>6.8500000000000005</v>
          </cell>
          <cell r="CH31">
            <v>6.8500000000000005</v>
          </cell>
          <cell r="CI31">
            <v>6.5500000000000007</v>
          </cell>
          <cell r="CJ31">
            <v>10.4</v>
          </cell>
          <cell r="CK31">
            <v>9.9</v>
          </cell>
          <cell r="CL31">
            <v>5.3000000000000007</v>
          </cell>
          <cell r="CM31">
            <v>16.399999999999999</v>
          </cell>
          <cell r="CN31">
            <v>6.75</v>
          </cell>
          <cell r="CO31">
            <v>2.5499999999999998</v>
          </cell>
          <cell r="CP31">
            <v>375.5</v>
          </cell>
        </row>
        <row r="32">
          <cell r="A32">
            <v>29</v>
          </cell>
          <cell r="B32">
            <v>2045</v>
          </cell>
          <cell r="C32">
            <v>0.85</v>
          </cell>
          <cell r="D32">
            <v>1.05</v>
          </cell>
          <cell r="E32">
            <v>1.25</v>
          </cell>
          <cell r="F32">
            <v>0.02</v>
          </cell>
          <cell r="G32">
            <v>130.6</v>
          </cell>
          <cell r="H32">
            <v>153.6</v>
          </cell>
          <cell r="I32">
            <v>7.1499999999999995</v>
          </cell>
          <cell r="J32">
            <v>8.35</v>
          </cell>
          <cell r="K32">
            <v>145.44999999999999</v>
          </cell>
          <cell r="L32">
            <v>138.5</v>
          </cell>
          <cell r="M32">
            <v>121.95</v>
          </cell>
          <cell r="N32">
            <v>117.6</v>
          </cell>
          <cell r="O32">
            <v>110.64999999999999</v>
          </cell>
          <cell r="P32">
            <v>142.85</v>
          </cell>
          <cell r="Q32">
            <v>155.9</v>
          </cell>
          <cell r="R32">
            <v>121.1</v>
          </cell>
          <cell r="S32">
            <v>7.1499999999999995</v>
          </cell>
          <cell r="T32">
            <v>6.8000000000000007</v>
          </cell>
          <cell r="U32">
            <v>6.25</v>
          </cell>
          <cell r="V32">
            <v>8.8000000000000007</v>
          </cell>
          <cell r="W32">
            <v>20</v>
          </cell>
          <cell r="X32">
            <v>58.150000000000006</v>
          </cell>
          <cell r="Y32">
            <v>87.300000000000011</v>
          </cell>
          <cell r="Z32">
            <v>145.44999999999999</v>
          </cell>
          <cell r="AA32">
            <v>85.850000000000009</v>
          </cell>
          <cell r="AB32">
            <v>17</v>
          </cell>
          <cell r="AC32">
            <v>49.45</v>
          </cell>
          <cell r="AD32">
            <v>74.2</v>
          </cell>
          <cell r="AE32">
            <v>123.65</v>
          </cell>
          <cell r="AF32">
            <v>72.95</v>
          </cell>
          <cell r="AG32">
            <v>153.6</v>
          </cell>
          <cell r="AH32">
            <v>131.69999999999999</v>
          </cell>
          <cell r="AI32">
            <v>125.25</v>
          </cell>
          <cell r="AJ32">
            <v>113.25</v>
          </cell>
          <cell r="AK32">
            <v>99.75</v>
          </cell>
          <cell r="AL32">
            <v>6.8000000000000007</v>
          </cell>
          <cell r="AM32">
            <v>58.150000000000006</v>
          </cell>
          <cell r="AN32">
            <v>87.300000000000011</v>
          </cell>
          <cell r="AO32">
            <v>145.44999999999999</v>
          </cell>
          <cell r="AP32">
            <v>6.8000000000000007</v>
          </cell>
          <cell r="AQ32">
            <v>6.8000000000000007</v>
          </cell>
          <cell r="AR32">
            <v>6.8000000000000007</v>
          </cell>
          <cell r="AS32">
            <v>6.8000000000000007</v>
          </cell>
          <cell r="AT32">
            <v>6.8000000000000007</v>
          </cell>
          <cell r="AU32">
            <v>6.8000000000000007</v>
          </cell>
          <cell r="AV32">
            <v>145.44999999999999</v>
          </cell>
          <cell r="AW32">
            <v>0.19600000000000001</v>
          </cell>
          <cell r="AX32">
            <v>0.19600000000000001</v>
          </cell>
          <cell r="AY32">
            <v>0.19600000000000001</v>
          </cell>
          <cell r="AZ32">
            <v>0.19600000000000001</v>
          </cell>
          <cell r="BA32">
            <v>0.19600000000000001</v>
          </cell>
          <cell r="BB32">
            <v>19.863750562144144</v>
          </cell>
          <cell r="BC32">
            <v>17.480100494686845</v>
          </cell>
          <cell r="BD32">
            <v>1.4158409953928535</v>
          </cell>
          <cell r="BE32">
            <v>1.85</v>
          </cell>
          <cell r="BF32">
            <v>2.8499999999999996</v>
          </cell>
          <cell r="BG32">
            <v>2.2000000000000002</v>
          </cell>
          <cell r="BH32">
            <v>3.55</v>
          </cell>
          <cell r="BI32">
            <v>3.2</v>
          </cell>
          <cell r="BJ32">
            <v>130.95000000000002</v>
          </cell>
          <cell r="BK32">
            <v>109.1</v>
          </cell>
          <cell r="BL32">
            <v>87.300000000000011</v>
          </cell>
          <cell r="BM32">
            <v>6.9499999999999993</v>
          </cell>
          <cell r="BN32">
            <v>0.28316819907857066</v>
          </cell>
          <cell r="BO32">
            <v>87.05</v>
          </cell>
          <cell r="BP32">
            <v>114.9</v>
          </cell>
          <cell r="BQ32">
            <v>121.85000000000001</v>
          </cell>
          <cell r="BR32">
            <v>126.19999999999999</v>
          </cell>
          <cell r="BS32">
            <v>127.10000000000001</v>
          </cell>
          <cell r="BT32">
            <v>121.85000000000001</v>
          </cell>
          <cell r="BU32">
            <v>120.15</v>
          </cell>
          <cell r="BV32">
            <v>121.85000000000001</v>
          </cell>
          <cell r="BW32">
            <v>132.30000000000001</v>
          </cell>
          <cell r="BX32">
            <v>128.85</v>
          </cell>
          <cell r="BY32">
            <v>116.64999999999999</v>
          </cell>
          <cell r="BZ32">
            <v>133</v>
          </cell>
          <cell r="CA32">
            <v>127.95</v>
          </cell>
          <cell r="CB32">
            <v>119.25</v>
          </cell>
          <cell r="CC32">
            <v>129.70000000000002</v>
          </cell>
          <cell r="CD32">
            <v>127.10000000000001</v>
          </cell>
          <cell r="CE32">
            <v>6.8000000000000007</v>
          </cell>
          <cell r="CF32">
            <v>6.8000000000000007</v>
          </cell>
          <cell r="CG32">
            <v>6.9499999999999993</v>
          </cell>
          <cell r="CH32">
            <v>6.9499999999999993</v>
          </cell>
          <cell r="CI32">
            <v>6.7</v>
          </cell>
          <cell r="CJ32">
            <v>10.600000000000001</v>
          </cell>
          <cell r="CK32">
            <v>10.1</v>
          </cell>
          <cell r="CL32">
            <v>5.4</v>
          </cell>
          <cell r="CM32">
            <v>16.7</v>
          </cell>
          <cell r="CN32">
            <v>6.8999999999999995</v>
          </cell>
          <cell r="CO32">
            <v>2.6</v>
          </cell>
          <cell r="CP32">
            <v>383.05</v>
          </cell>
        </row>
        <row r="33">
          <cell r="A33">
            <v>30</v>
          </cell>
          <cell r="B33">
            <v>2046</v>
          </cell>
          <cell r="C33">
            <v>0.85</v>
          </cell>
          <cell r="D33">
            <v>1.05</v>
          </cell>
          <cell r="E33">
            <v>1.25</v>
          </cell>
          <cell r="F33">
            <v>0.02</v>
          </cell>
          <cell r="G33">
            <v>133.19999999999999</v>
          </cell>
          <cell r="H33">
            <v>156.69999999999999</v>
          </cell>
          <cell r="I33">
            <v>7.3</v>
          </cell>
          <cell r="J33">
            <v>8.5</v>
          </cell>
          <cell r="K33">
            <v>148.35000000000002</v>
          </cell>
          <cell r="L33">
            <v>141.25</v>
          </cell>
          <cell r="M33">
            <v>124.39999999999999</v>
          </cell>
          <cell r="N33">
            <v>119.94999999999999</v>
          </cell>
          <cell r="O33">
            <v>112.85</v>
          </cell>
          <cell r="P33">
            <v>145.69999999999999</v>
          </cell>
          <cell r="Q33">
            <v>159.04999999999998</v>
          </cell>
          <cell r="R33">
            <v>123.5</v>
          </cell>
          <cell r="S33">
            <v>7.3</v>
          </cell>
          <cell r="T33">
            <v>6.9499999999999993</v>
          </cell>
          <cell r="U33">
            <v>6.4</v>
          </cell>
          <cell r="V33">
            <v>8.9499999999999993</v>
          </cell>
          <cell r="W33">
            <v>20.399999999999999</v>
          </cell>
          <cell r="X33">
            <v>59.3</v>
          </cell>
          <cell r="Y33">
            <v>89.05</v>
          </cell>
          <cell r="Z33">
            <v>148.35000000000002</v>
          </cell>
          <cell r="AA33">
            <v>87.550000000000011</v>
          </cell>
          <cell r="AB33">
            <v>17.350000000000001</v>
          </cell>
          <cell r="AC33">
            <v>50.4</v>
          </cell>
          <cell r="AD33">
            <v>75.7</v>
          </cell>
          <cell r="AE33">
            <v>126.1</v>
          </cell>
          <cell r="AF33">
            <v>74.400000000000006</v>
          </cell>
          <cell r="AG33">
            <v>156.69999999999999</v>
          </cell>
          <cell r="AH33">
            <v>134.35</v>
          </cell>
          <cell r="AI33">
            <v>127.75</v>
          </cell>
          <cell r="AJ33">
            <v>115.5</v>
          </cell>
          <cell r="AK33">
            <v>101.75</v>
          </cell>
          <cell r="AL33">
            <v>6.9499999999999993</v>
          </cell>
          <cell r="AM33">
            <v>59.3</v>
          </cell>
          <cell r="AN33">
            <v>89.05</v>
          </cell>
          <cell r="AO33">
            <v>148.35000000000002</v>
          </cell>
          <cell r="AP33">
            <v>6.9499999999999993</v>
          </cell>
          <cell r="AQ33">
            <v>6.9499999999999993</v>
          </cell>
          <cell r="AR33">
            <v>6.9499999999999993</v>
          </cell>
          <cell r="AS33">
            <v>6.9499999999999993</v>
          </cell>
          <cell r="AT33">
            <v>6.9499999999999993</v>
          </cell>
          <cell r="AU33">
            <v>6.9499999999999993</v>
          </cell>
          <cell r="AV33">
            <v>148.35000000000002</v>
          </cell>
          <cell r="AW33">
            <v>0.19600000000000001</v>
          </cell>
          <cell r="AX33">
            <v>0.19600000000000001</v>
          </cell>
          <cell r="AY33">
            <v>0.19600000000000001</v>
          </cell>
          <cell r="AZ33">
            <v>0.19600000000000001</v>
          </cell>
          <cell r="BA33">
            <v>0.19600000000000001</v>
          </cell>
          <cell r="BB33">
            <v>19.863750562144144</v>
          </cell>
          <cell r="BC33">
            <v>17.480100494686845</v>
          </cell>
          <cell r="BD33">
            <v>1.4158409953928535</v>
          </cell>
          <cell r="BE33">
            <v>1.85</v>
          </cell>
          <cell r="BF33">
            <v>2.9499999999999997</v>
          </cell>
          <cell r="BG33">
            <v>2.2000000000000002</v>
          </cell>
          <cell r="BH33">
            <v>3.65</v>
          </cell>
          <cell r="BI33">
            <v>3.3000000000000003</v>
          </cell>
          <cell r="BJ33">
            <v>133.55000000000001</v>
          </cell>
          <cell r="BK33">
            <v>111.25</v>
          </cell>
          <cell r="BL33">
            <v>89.05</v>
          </cell>
          <cell r="BM33">
            <v>7.1</v>
          </cell>
          <cell r="BN33">
            <v>0.28316819907857066</v>
          </cell>
          <cell r="BO33">
            <v>88.800000000000011</v>
          </cell>
          <cell r="BP33">
            <v>117.2</v>
          </cell>
          <cell r="BQ33">
            <v>124.3</v>
          </cell>
          <cell r="BR33">
            <v>128.75</v>
          </cell>
          <cell r="BS33">
            <v>129.65</v>
          </cell>
          <cell r="BT33">
            <v>124.3</v>
          </cell>
          <cell r="BU33">
            <v>122.55000000000001</v>
          </cell>
          <cell r="BV33">
            <v>124.3</v>
          </cell>
          <cell r="BW33">
            <v>134.94999999999999</v>
          </cell>
          <cell r="BX33">
            <v>131.4</v>
          </cell>
          <cell r="BY33">
            <v>119</v>
          </cell>
          <cell r="BZ33">
            <v>135.65</v>
          </cell>
          <cell r="CA33">
            <v>130.5</v>
          </cell>
          <cell r="CB33">
            <v>121.64999999999999</v>
          </cell>
          <cell r="CC33">
            <v>132.30000000000001</v>
          </cell>
          <cell r="CD33">
            <v>129.65</v>
          </cell>
          <cell r="CE33">
            <v>6.9499999999999993</v>
          </cell>
          <cell r="CF33">
            <v>6.9499999999999993</v>
          </cell>
          <cell r="CG33">
            <v>7.1</v>
          </cell>
          <cell r="CH33">
            <v>7.1</v>
          </cell>
          <cell r="CI33">
            <v>6.8500000000000005</v>
          </cell>
          <cell r="CJ33">
            <v>10.85</v>
          </cell>
          <cell r="CK33">
            <v>10.3</v>
          </cell>
          <cell r="CL33">
            <v>5.5</v>
          </cell>
          <cell r="CM33">
            <v>17.05</v>
          </cell>
          <cell r="CN33">
            <v>7</v>
          </cell>
          <cell r="CO33">
            <v>2.6500000000000004</v>
          </cell>
          <cell r="CP33">
            <v>390.7</v>
          </cell>
        </row>
        <row r="34">
          <cell r="A34">
            <v>31</v>
          </cell>
          <cell r="B34">
            <v>2047</v>
          </cell>
          <cell r="C34">
            <v>0.85</v>
          </cell>
          <cell r="D34">
            <v>1.05</v>
          </cell>
          <cell r="E34">
            <v>1.25</v>
          </cell>
          <cell r="F34">
            <v>0.02</v>
          </cell>
          <cell r="G34">
            <v>135.85000000000002</v>
          </cell>
          <cell r="H34">
            <v>159.85</v>
          </cell>
          <cell r="I34">
            <v>7.45</v>
          </cell>
          <cell r="J34">
            <v>8.6999999999999993</v>
          </cell>
          <cell r="K34">
            <v>151.35</v>
          </cell>
          <cell r="L34">
            <v>144.1</v>
          </cell>
          <cell r="M34">
            <v>126.89999999999999</v>
          </cell>
          <cell r="N34">
            <v>122.35</v>
          </cell>
          <cell r="O34">
            <v>115.1</v>
          </cell>
          <cell r="P34">
            <v>148.6</v>
          </cell>
          <cell r="Q34">
            <v>162.19999999999999</v>
          </cell>
          <cell r="R34">
            <v>126</v>
          </cell>
          <cell r="S34">
            <v>7.45</v>
          </cell>
          <cell r="T34">
            <v>7.05</v>
          </cell>
          <cell r="U34">
            <v>6.5</v>
          </cell>
          <cell r="V34">
            <v>9.15</v>
          </cell>
          <cell r="W34">
            <v>20.85</v>
          </cell>
          <cell r="X34">
            <v>60.5</v>
          </cell>
          <cell r="Y34">
            <v>90.850000000000009</v>
          </cell>
          <cell r="Z34">
            <v>151.35</v>
          </cell>
          <cell r="AA34">
            <v>89.3</v>
          </cell>
          <cell r="AB34">
            <v>17.7</v>
          </cell>
          <cell r="AC34">
            <v>51.449999999999996</v>
          </cell>
          <cell r="AD34">
            <v>77.2</v>
          </cell>
          <cell r="AE34">
            <v>128.65</v>
          </cell>
          <cell r="AF34">
            <v>75.900000000000006</v>
          </cell>
          <cell r="AG34">
            <v>159.85</v>
          </cell>
          <cell r="AH34">
            <v>137.05000000000001</v>
          </cell>
          <cell r="AI34">
            <v>130.35</v>
          </cell>
          <cell r="AJ34">
            <v>117.85</v>
          </cell>
          <cell r="AK34">
            <v>103.80000000000001</v>
          </cell>
          <cell r="AL34">
            <v>7.05</v>
          </cell>
          <cell r="AM34">
            <v>60.5</v>
          </cell>
          <cell r="AN34">
            <v>90.850000000000009</v>
          </cell>
          <cell r="AO34">
            <v>151.35</v>
          </cell>
          <cell r="AP34">
            <v>7.05</v>
          </cell>
          <cell r="AQ34">
            <v>7.05</v>
          </cell>
          <cell r="AR34">
            <v>7.05</v>
          </cell>
          <cell r="AS34">
            <v>7.05</v>
          </cell>
          <cell r="AT34">
            <v>7.05</v>
          </cell>
          <cell r="AU34">
            <v>7.05</v>
          </cell>
          <cell r="AV34">
            <v>151.35</v>
          </cell>
          <cell r="AW34">
            <v>0.19600000000000001</v>
          </cell>
          <cell r="AX34">
            <v>0.19600000000000001</v>
          </cell>
          <cell r="AY34">
            <v>0.19600000000000001</v>
          </cell>
          <cell r="AZ34">
            <v>0.19600000000000001</v>
          </cell>
          <cell r="BA34">
            <v>0.19600000000000001</v>
          </cell>
          <cell r="BB34">
            <v>19.863750562144144</v>
          </cell>
          <cell r="BC34">
            <v>17.480100494686845</v>
          </cell>
          <cell r="BD34">
            <v>1.4158409953928535</v>
          </cell>
          <cell r="BE34">
            <v>1.9</v>
          </cell>
          <cell r="BF34">
            <v>3</v>
          </cell>
          <cell r="BG34">
            <v>2.25</v>
          </cell>
          <cell r="BH34">
            <v>3.7</v>
          </cell>
          <cell r="BI34">
            <v>3.35</v>
          </cell>
          <cell r="BJ34">
            <v>136.19999999999999</v>
          </cell>
          <cell r="BK34">
            <v>113.5</v>
          </cell>
          <cell r="BL34">
            <v>90.850000000000009</v>
          </cell>
          <cell r="BM34">
            <v>7.25</v>
          </cell>
          <cell r="BN34">
            <v>0.28316819907857066</v>
          </cell>
          <cell r="BO34">
            <v>90.55</v>
          </cell>
          <cell r="BP34">
            <v>119.55</v>
          </cell>
          <cell r="BQ34">
            <v>126.8</v>
          </cell>
          <cell r="BR34">
            <v>131.30000000000001</v>
          </cell>
          <cell r="BS34">
            <v>132.25</v>
          </cell>
          <cell r="BT34">
            <v>126.8</v>
          </cell>
          <cell r="BU34">
            <v>125</v>
          </cell>
          <cell r="BV34">
            <v>126.8</v>
          </cell>
          <cell r="BW34">
            <v>137.65</v>
          </cell>
          <cell r="BX34">
            <v>134.04999999999998</v>
          </cell>
          <cell r="BY34">
            <v>121.35</v>
          </cell>
          <cell r="BZ34">
            <v>138.4</v>
          </cell>
          <cell r="CA34">
            <v>133.15</v>
          </cell>
          <cell r="CB34">
            <v>124.1</v>
          </cell>
          <cell r="CC34">
            <v>134.94999999999999</v>
          </cell>
          <cell r="CD34">
            <v>132.25</v>
          </cell>
          <cell r="CE34">
            <v>7.05</v>
          </cell>
          <cell r="CF34">
            <v>7.05</v>
          </cell>
          <cell r="CG34">
            <v>7.25</v>
          </cell>
          <cell r="CH34">
            <v>7.25</v>
          </cell>
          <cell r="CI34">
            <v>6.9499999999999993</v>
          </cell>
          <cell r="CJ34">
            <v>11.05</v>
          </cell>
          <cell r="CK34">
            <v>10.5</v>
          </cell>
          <cell r="CL34">
            <v>5.6000000000000005</v>
          </cell>
          <cell r="CM34">
            <v>17.399999999999999</v>
          </cell>
          <cell r="CN34">
            <v>7.1499999999999995</v>
          </cell>
          <cell r="CO34">
            <v>2.7</v>
          </cell>
          <cell r="CP34">
            <v>398.5</v>
          </cell>
        </row>
        <row r="35">
          <cell r="A35">
            <v>32</v>
          </cell>
          <cell r="B35">
            <v>2048</v>
          </cell>
          <cell r="C35">
            <v>0.85</v>
          </cell>
          <cell r="D35">
            <v>1.05</v>
          </cell>
          <cell r="E35">
            <v>1.25</v>
          </cell>
          <cell r="F35">
            <v>0.02</v>
          </cell>
          <cell r="G35">
            <v>138.55000000000001</v>
          </cell>
          <cell r="H35">
            <v>163</v>
          </cell>
          <cell r="I35">
            <v>7.6</v>
          </cell>
          <cell r="J35">
            <v>8.85</v>
          </cell>
          <cell r="K35">
            <v>154.35</v>
          </cell>
          <cell r="L35">
            <v>147</v>
          </cell>
          <cell r="M35">
            <v>129.4</v>
          </cell>
          <cell r="N35">
            <v>124.80000000000001</v>
          </cell>
          <cell r="O35">
            <v>117.4</v>
          </cell>
          <cell r="P35">
            <v>151.6</v>
          </cell>
          <cell r="Q35">
            <v>165.45000000000002</v>
          </cell>
          <cell r="R35">
            <v>128.5</v>
          </cell>
          <cell r="S35">
            <v>7.6</v>
          </cell>
          <cell r="T35">
            <v>7.1999999999999993</v>
          </cell>
          <cell r="U35">
            <v>6.65</v>
          </cell>
          <cell r="V35">
            <v>9.3500000000000014</v>
          </cell>
          <cell r="W35">
            <v>21.25</v>
          </cell>
          <cell r="X35">
            <v>61.7</v>
          </cell>
          <cell r="Y35">
            <v>92.65</v>
          </cell>
          <cell r="Z35">
            <v>154.35</v>
          </cell>
          <cell r="AA35">
            <v>91.1</v>
          </cell>
          <cell r="AB35">
            <v>18.05</v>
          </cell>
          <cell r="AC35">
            <v>52.45</v>
          </cell>
          <cell r="AD35">
            <v>78.75</v>
          </cell>
          <cell r="AE35">
            <v>131.19999999999999</v>
          </cell>
          <cell r="AF35">
            <v>77.45</v>
          </cell>
          <cell r="AG35">
            <v>163</v>
          </cell>
          <cell r="AH35">
            <v>139.75</v>
          </cell>
          <cell r="AI35">
            <v>132.94999999999999</v>
          </cell>
          <cell r="AJ35">
            <v>120.19999999999999</v>
          </cell>
          <cell r="AK35">
            <v>105.85000000000001</v>
          </cell>
          <cell r="AL35">
            <v>7.1999999999999993</v>
          </cell>
          <cell r="AM35">
            <v>61.7</v>
          </cell>
          <cell r="AN35">
            <v>92.65</v>
          </cell>
          <cell r="AO35">
            <v>154.35</v>
          </cell>
          <cell r="AP35">
            <v>7.1999999999999993</v>
          </cell>
          <cell r="AQ35">
            <v>7.1999999999999993</v>
          </cell>
          <cell r="AR35">
            <v>7.1999999999999993</v>
          </cell>
          <cell r="AS35">
            <v>7.1999999999999993</v>
          </cell>
          <cell r="AT35">
            <v>7.1999999999999993</v>
          </cell>
          <cell r="AU35">
            <v>7.1999999999999993</v>
          </cell>
          <cell r="AV35">
            <v>154.35</v>
          </cell>
          <cell r="AW35">
            <v>0.19600000000000001</v>
          </cell>
          <cell r="AX35">
            <v>0.19600000000000001</v>
          </cell>
          <cell r="AY35">
            <v>0.19600000000000001</v>
          </cell>
          <cell r="AZ35">
            <v>0.19600000000000001</v>
          </cell>
          <cell r="BA35">
            <v>0.19600000000000001</v>
          </cell>
          <cell r="BB35">
            <v>19.863750562144144</v>
          </cell>
          <cell r="BC35">
            <v>17.480100494686845</v>
          </cell>
          <cell r="BD35">
            <v>1.4158409953928535</v>
          </cell>
          <cell r="BE35">
            <v>1.9500000000000002</v>
          </cell>
          <cell r="BF35">
            <v>3.05</v>
          </cell>
          <cell r="BG35">
            <v>2.3000000000000003</v>
          </cell>
          <cell r="BH35">
            <v>3.8</v>
          </cell>
          <cell r="BI35">
            <v>3.4000000000000004</v>
          </cell>
          <cell r="BJ35">
            <v>138.94999999999999</v>
          </cell>
          <cell r="BK35">
            <v>115.75</v>
          </cell>
          <cell r="BL35">
            <v>92.65</v>
          </cell>
          <cell r="BM35">
            <v>7.4</v>
          </cell>
          <cell r="BN35">
            <v>0.28316819907857066</v>
          </cell>
          <cell r="BO35">
            <v>92.4</v>
          </cell>
          <cell r="BP35">
            <v>121.95</v>
          </cell>
          <cell r="BQ35">
            <v>129.35</v>
          </cell>
          <cell r="BR35">
            <v>133.94999999999999</v>
          </cell>
          <cell r="BS35">
            <v>134.85</v>
          </cell>
          <cell r="BT35">
            <v>129.35</v>
          </cell>
          <cell r="BU35">
            <v>127.5</v>
          </cell>
          <cell r="BV35">
            <v>129.35</v>
          </cell>
          <cell r="BW35">
            <v>140.39999999999998</v>
          </cell>
          <cell r="BX35">
            <v>136.69999999999999</v>
          </cell>
          <cell r="BY35">
            <v>123.80000000000001</v>
          </cell>
          <cell r="BZ35">
            <v>141.15</v>
          </cell>
          <cell r="CA35">
            <v>135.80000000000001</v>
          </cell>
          <cell r="CB35">
            <v>126.55</v>
          </cell>
          <cell r="CC35">
            <v>137.65</v>
          </cell>
          <cell r="CD35">
            <v>134.85</v>
          </cell>
          <cell r="CE35">
            <v>7.1999999999999993</v>
          </cell>
          <cell r="CF35">
            <v>7.1999999999999993</v>
          </cell>
          <cell r="CG35">
            <v>7.4</v>
          </cell>
          <cell r="CH35">
            <v>7.4</v>
          </cell>
          <cell r="CI35">
            <v>7.1</v>
          </cell>
          <cell r="CJ35">
            <v>11.25</v>
          </cell>
          <cell r="CK35">
            <v>10.700000000000001</v>
          </cell>
          <cell r="CL35">
            <v>5.75</v>
          </cell>
          <cell r="CM35">
            <v>17.75</v>
          </cell>
          <cell r="CN35">
            <v>7.3</v>
          </cell>
          <cell r="CO35">
            <v>2.75</v>
          </cell>
          <cell r="CP35">
            <v>406.45000000000005</v>
          </cell>
        </row>
        <row r="36">
          <cell r="A36">
            <v>33</v>
          </cell>
          <cell r="B36">
            <v>2049</v>
          </cell>
          <cell r="C36">
            <v>0.85</v>
          </cell>
          <cell r="D36">
            <v>1.05</v>
          </cell>
          <cell r="E36">
            <v>1.25</v>
          </cell>
          <cell r="F36">
            <v>0.02</v>
          </cell>
          <cell r="G36">
            <v>141.35</v>
          </cell>
          <cell r="H36">
            <v>166.29999999999998</v>
          </cell>
          <cell r="I36">
            <v>7.75</v>
          </cell>
          <cell r="J36">
            <v>9.0500000000000007</v>
          </cell>
          <cell r="K36">
            <v>157.44999999999999</v>
          </cell>
          <cell r="L36">
            <v>149.9</v>
          </cell>
          <cell r="M36">
            <v>132</v>
          </cell>
          <cell r="N36">
            <v>127.30000000000001</v>
          </cell>
          <cell r="O36">
            <v>119.75</v>
          </cell>
          <cell r="P36">
            <v>154.65</v>
          </cell>
          <cell r="Q36">
            <v>168.75</v>
          </cell>
          <cell r="R36">
            <v>131.05000000000001</v>
          </cell>
          <cell r="S36">
            <v>7.75</v>
          </cell>
          <cell r="T36">
            <v>7.35</v>
          </cell>
          <cell r="U36">
            <v>6.8000000000000007</v>
          </cell>
          <cell r="V36">
            <v>9.5</v>
          </cell>
          <cell r="W36">
            <v>21.65</v>
          </cell>
          <cell r="X36">
            <v>62.95</v>
          </cell>
          <cell r="Y36">
            <v>94.5</v>
          </cell>
          <cell r="Z36">
            <v>157.44999999999999</v>
          </cell>
          <cell r="AA36">
            <v>92.899999999999991</v>
          </cell>
          <cell r="AB36">
            <v>18.400000000000002</v>
          </cell>
          <cell r="AC36">
            <v>53.5</v>
          </cell>
          <cell r="AD36">
            <v>80.349999999999994</v>
          </cell>
          <cell r="AE36">
            <v>133.85</v>
          </cell>
          <cell r="AF36">
            <v>78.949999999999989</v>
          </cell>
          <cell r="AG36">
            <v>166.29999999999998</v>
          </cell>
          <cell r="AH36">
            <v>142.55000000000001</v>
          </cell>
          <cell r="AI36">
            <v>135.6</v>
          </cell>
          <cell r="AJ36">
            <v>122.6</v>
          </cell>
          <cell r="AK36">
            <v>108</v>
          </cell>
          <cell r="AL36">
            <v>7.35</v>
          </cell>
          <cell r="AM36">
            <v>62.95</v>
          </cell>
          <cell r="AN36">
            <v>94.5</v>
          </cell>
          <cell r="AO36">
            <v>157.44999999999999</v>
          </cell>
          <cell r="AP36">
            <v>7.35</v>
          </cell>
          <cell r="AQ36">
            <v>7.35</v>
          </cell>
          <cell r="AR36">
            <v>7.35</v>
          </cell>
          <cell r="AS36">
            <v>7.35</v>
          </cell>
          <cell r="AT36">
            <v>7.35</v>
          </cell>
          <cell r="AU36">
            <v>7.35</v>
          </cell>
          <cell r="AV36">
            <v>157.44999999999999</v>
          </cell>
          <cell r="AW36">
            <v>0.19600000000000001</v>
          </cell>
          <cell r="AX36">
            <v>0.19600000000000001</v>
          </cell>
          <cell r="AY36">
            <v>0.19600000000000001</v>
          </cell>
          <cell r="AZ36">
            <v>0.19600000000000001</v>
          </cell>
          <cell r="BA36">
            <v>0.19600000000000001</v>
          </cell>
          <cell r="BB36">
            <v>19.863750562144144</v>
          </cell>
          <cell r="BC36">
            <v>17.480100494686845</v>
          </cell>
          <cell r="BD36">
            <v>1.4158409953928535</v>
          </cell>
          <cell r="BE36">
            <v>2</v>
          </cell>
          <cell r="BF36">
            <v>3.1</v>
          </cell>
          <cell r="BG36">
            <v>2.3499999999999996</v>
          </cell>
          <cell r="BH36">
            <v>3.85</v>
          </cell>
          <cell r="BI36">
            <v>3.5</v>
          </cell>
          <cell r="BJ36">
            <v>141.69999999999999</v>
          </cell>
          <cell r="BK36">
            <v>118.05</v>
          </cell>
          <cell r="BL36">
            <v>94.5</v>
          </cell>
          <cell r="BM36">
            <v>7.55</v>
          </cell>
          <cell r="BN36">
            <v>0.28316819907857066</v>
          </cell>
          <cell r="BO36">
            <v>94.25</v>
          </cell>
          <cell r="BP36">
            <v>124.39999999999999</v>
          </cell>
          <cell r="BQ36">
            <v>131.9</v>
          </cell>
          <cell r="BR36">
            <v>136.64999999999998</v>
          </cell>
          <cell r="BS36">
            <v>137.55000000000001</v>
          </cell>
          <cell r="BT36">
            <v>131.9</v>
          </cell>
          <cell r="BU36">
            <v>130.05000000000001</v>
          </cell>
          <cell r="BV36">
            <v>131.9</v>
          </cell>
          <cell r="BW36">
            <v>143.25</v>
          </cell>
          <cell r="BX36">
            <v>139.44999999999999</v>
          </cell>
          <cell r="BY36">
            <v>126.25</v>
          </cell>
          <cell r="BZ36">
            <v>144</v>
          </cell>
          <cell r="CA36">
            <v>138.5</v>
          </cell>
          <cell r="CB36">
            <v>129.1</v>
          </cell>
          <cell r="CC36">
            <v>140.39999999999998</v>
          </cell>
          <cell r="CD36">
            <v>137.55000000000001</v>
          </cell>
          <cell r="CE36">
            <v>7.35</v>
          </cell>
          <cell r="CF36">
            <v>7.35</v>
          </cell>
          <cell r="CG36">
            <v>7.55</v>
          </cell>
          <cell r="CH36">
            <v>7.55</v>
          </cell>
          <cell r="CI36">
            <v>7.25</v>
          </cell>
          <cell r="CJ36">
            <v>11.5</v>
          </cell>
          <cell r="CK36">
            <v>10.95</v>
          </cell>
          <cell r="CL36">
            <v>5.85</v>
          </cell>
          <cell r="CM36">
            <v>18.100000000000001</v>
          </cell>
          <cell r="CN36">
            <v>7.45</v>
          </cell>
          <cell r="CO36">
            <v>2.8499999999999996</v>
          </cell>
          <cell r="CP36">
            <v>414.6</v>
          </cell>
        </row>
        <row r="37">
          <cell r="A37">
            <v>34</v>
          </cell>
          <cell r="B37">
            <v>2050</v>
          </cell>
          <cell r="C37">
            <v>0.85</v>
          </cell>
          <cell r="D37">
            <v>1.05</v>
          </cell>
          <cell r="E37">
            <v>1.25</v>
          </cell>
          <cell r="F37">
            <v>0.02</v>
          </cell>
          <cell r="G37">
            <v>144.14999999999998</v>
          </cell>
          <cell r="H37">
            <v>169.60000000000002</v>
          </cell>
          <cell r="I37">
            <v>7.9</v>
          </cell>
          <cell r="J37">
            <v>9.25</v>
          </cell>
          <cell r="K37">
            <v>160.6</v>
          </cell>
          <cell r="L37">
            <v>152.89999999999998</v>
          </cell>
          <cell r="M37">
            <v>134.65</v>
          </cell>
          <cell r="N37">
            <v>129.85</v>
          </cell>
          <cell r="O37">
            <v>122.15</v>
          </cell>
          <cell r="P37">
            <v>157.69999999999999</v>
          </cell>
          <cell r="Q37">
            <v>172.15</v>
          </cell>
          <cell r="R37">
            <v>133.69999999999999</v>
          </cell>
          <cell r="S37">
            <v>7.9</v>
          </cell>
          <cell r="T37">
            <v>7.5</v>
          </cell>
          <cell r="U37">
            <v>6.8999999999999995</v>
          </cell>
          <cell r="V37">
            <v>9.6999999999999993</v>
          </cell>
          <cell r="W37">
            <v>22.1</v>
          </cell>
          <cell r="X37">
            <v>64.2</v>
          </cell>
          <cell r="Y37">
            <v>96.4</v>
          </cell>
          <cell r="Z37">
            <v>160.6</v>
          </cell>
          <cell r="AA37">
            <v>94.75</v>
          </cell>
          <cell r="AB37">
            <v>18.799999999999997</v>
          </cell>
          <cell r="AC37">
            <v>54.55</v>
          </cell>
          <cell r="AD37">
            <v>81.95</v>
          </cell>
          <cell r="AE37">
            <v>136.5</v>
          </cell>
          <cell r="AF37">
            <v>80.55</v>
          </cell>
          <cell r="AG37">
            <v>169.60000000000002</v>
          </cell>
          <cell r="AH37">
            <v>145.39999999999998</v>
          </cell>
          <cell r="AI37">
            <v>138.30000000000001</v>
          </cell>
          <cell r="AJ37">
            <v>125.05000000000001</v>
          </cell>
          <cell r="AK37">
            <v>110.15</v>
          </cell>
          <cell r="AL37">
            <v>7.5</v>
          </cell>
          <cell r="AM37">
            <v>64.2</v>
          </cell>
          <cell r="AN37">
            <v>96.4</v>
          </cell>
          <cell r="AO37">
            <v>160.6</v>
          </cell>
          <cell r="AP37">
            <v>7.5</v>
          </cell>
          <cell r="AQ37">
            <v>7.5</v>
          </cell>
          <cell r="AR37">
            <v>7.5</v>
          </cell>
          <cell r="AS37">
            <v>7.5</v>
          </cell>
          <cell r="AT37">
            <v>7.5</v>
          </cell>
          <cell r="AU37">
            <v>7.5</v>
          </cell>
          <cell r="AV37">
            <v>160.6</v>
          </cell>
          <cell r="AW37">
            <v>0.19600000000000001</v>
          </cell>
          <cell r="AX37">
            <v>0.19600000000000001</v>
          </cell>
          <cell r="AY37">
            <v>0.19600000000000001</v>
          </cell>
          <cell r="AZ37">
            <v>0.19600000000000001</v>
          </cell>
          <cell r="BA37">
            <v>0.19600000000000001</v>
          </cell>
          <cell r="BB37">
            <v>19.863750562144144</v>
          </cell>
          <cell r="BC37">
            <v>17.480100494686845</v>
          </cell>
          <cell r="BD37">
            <v>1.4158409953928535</v>
          </cell>
          <cell r="BE37">
            <v>2</v>
          </cell>
          <cell r="BF37">
            <v>3.15</v>
          </cell>
          <cell r="BG37">
            <v>2.4</v>
          </cell>
          <cell r="BH37">
            <v>3.95</v>
          </cell>
          <cell r="BI37">
            <v>3.55</v>
          </cell>
          <cell r="BJ37">
            <v>144.55000000000001</v>
          </cell>
          <cell r="BK37">
            <v>120.45</v>
          </cell>
          <cell r="BL37">
            <v>96.4</v>
          </cell>
          <cell r="BM37">
            <v>7.7</v>
          </cell>
          <cell r="BN37">
            <v>0.28316819907857066</v>
          </cell>
          <cell r="BO37">
            <v>96.1</v>
          </cell>
          <cell r="BP37">
            <v>126.85000000000001</v>
          </cell>
          <cell r="BQ37">
            <v>134.55000000000001</v>
          </cell>
          <cell r="BR37">
            <v>139.35</v>
          </cell>
          <cell r="BS37">
            <v>140.29999999999998</v>
          </cell>
          <cell r="BT37">
            <v>134.55000000000001</v>
          </cell>
          <cell r="BU37">
            <v>132.65</v>
          </cell>
          <cell r="BV37">
            <v>134.55000000000001</v>
          </cell>
          <cell r="BW37">
            <v>146.1</v>
          </cell>
          <cell r="BX37">
            <v>142.25</v>
          </cell>
          <cell r="BY37">
            <v>128.80000000000001</v>
          </cell>
          <cell r="BZ37">
            <v>146.85</v>
          </cell>
          <cell r="CA37">
            <v>141.30000000000001</v>
          </cell>
          <cell r="CB37">
            <v>131.64999999999998</v>
          </cell>
          <cell r="CC37">
            <v>143.19999999999999</v>
          </cell>
          <cell r="CD37">
            <v>140.29999999999998</v>
          </cell>
          <cell r="CE37">
            <v>7.5</v>
          </cell>
          <cell r="CF37">
            <v>7.5</v>
          </cell>
          <cell r="CG37">
            <v>7.7</v>
          </cell>
          <cell r="CH37">
            <v>7.7</v>
          </cell>
          <cell r="CI37">
            <v>7.4</v>
          </cell>
          <cell r="CJ37">
            <v>11.75</v>
          </cell>
          <cell r="CK37">
            <v>11.15</v>
          </cell>
          <cell r="CL37">
            <v>5.9499999999999993</v>
          </cell>
          <cell r="CM37">
            <v>18.45</v>
          </cell>
          <cell r="CN37">
            <v>7.6</v>
          </cell>
          <cell r="CO37">
            <v>2.9</v>
          </cell>
          <cell r="CP37">
            <v>422.9</v>
          </cell>
        </row>
        <row r="38">
          <cell r="A38">
            <v>35</v>
          </cell>
          <cell r="B38">
            <v>2051</v>
          </cell>
          <cell r="C38">
            <v>0.85</v>
          </cell>
          <cell r="D38">
            <v>1.05</v>
          </cell>
          <cell r="E38">
            <v>1.25</v>
          </cell>
          <cell r="F38">
            <v>0.02</v>
          </cell>
          <cell r="G38">
            <v>147.05000000000001</v>
          </cell>
          <cell r="H38">
            <v>173</v>
          </cell>
          <cell r="I38">
            <v>8.0500000000000007</v>
          </cell>
          <cell r="J38">
            <v>9.3999999999999986</v>
          </cell>
          <cell r="K38">
            <v>163.79999999999998</v>
          </cell>
          <cell r="L38">
            <v>155.95000000000002</v>
          </cell>
          <cell r="M38">
            <v>137.35</v>
          </cell>
          <cell r="N38">
            <v>132.44999999999999</v>
          </cell>
          <cell r="O38">
            <v>124.60000000000001</v>
          </cell>
          <cell r="P38">
            <v>160.85000000000002</v>
          </cell>
          <cell r="Q38">
            <v>175.6</v>
          </cell>
          <cell r="R38">
            <v>136.35</v>
          </cell>
          <cell r="S38">
            <v>8.0500000000000007</v>
          </cell>
          <cell r="T38">
            <v>7.65</v>
          </cell>
          <cell r="U38">
            <v>7.05</v>
          </cell>
          <cell r="V38">
            <v>9.9</v>
          </cell>
          <cell r="W38">
            <v>22.549999999999997</v>
          </cell>
          <cell r="X38">
            <v>65.5</v>
          </cell>
          <cell r="Y38">
            <v>98.350000000000009</v>
          </cell>
          <cell r="Z38">
            <v>163.79999999999998</v>
          </cell>
          <cell r="AA38">
            <v>96.649999999999991</v>
          </cell>
          <cell r="AB38">
            <v>19.149999999999999</v>
          </cell>
          <cell r="AC38">
            <v>55.7</v>
          </cell>
          <cell r="AD38">
            <v>83.6</v>
          </cell>
          <cell r="AE38">
            <v>139.25</v>
          </cell>
          <cell r="AF38">
            <v>82.15</v>
          </cell>
          <cell r="AG38">
            <v>173</v>
          </cell>
          <cell r="AH38">
            <v>148.35000000000002</v>
          </cell>
          <cell r="AI38">
            <v>141.05000000000001</v>
          </cell>
          <cell r="AJ38">
            <v>127.55000000000001</v>
          </cell>
          <cell r="AK38">
            <v>112.35</v>
          </cell>
          <cell r="AL38">
            <v>7.65</v>
          </cell>
          <cell r="AM38">
            <v>65.5</v>
          </cell>
          <cell r="AN38">
            <v>98.350000000000009</v>
          </cell>
          <cell r="AO38">
            <v>163.79999999999998</v>
          </cell>
          <cell r="AP38">
            <v>7.65</v>
          </cell>
          <cell r="AQ38">
            <v>7.65</v>
          </cell>
          <cell r="AR38">
            <v>7.65</v>
          </cell>
          <cell r="AS38">
            <v>7.65</v>
          </cell>
          <cell r="AT38">
            <v>7.65</v>
          </cell>
          <cell r="AU38">
            <v>7.65</v>
          </cell>
          <cell r="AV38">
            <v>163.79999999999998</v>
          </cell>
          <cell r="AW38">
            <v>0.19600000000000001</v>
          </cell>
          <cell r="AX38">
            <v>0.19600000000000001</v>
          </cell>
          <cell r="AY38">
            <v>0.19600000000000001</v>
          </cell>
          <cell r="AZ38">
            <v>0.19600000000000001</v>
          </cell>
          <cell r="BA38">
            <v>0.19600000000000001</v>
          </cell>
          <cell r="BB38">
            <v>19.863750562144144</v>
          </cell>
          <cell r="BC38">
            <v>17.480100494686845</v>
          </cell>
          <cell r="BD38">
            <v>1.4158409953928535</v>
          </cell>
          <cell r="BE38">
            <v>2.0499999999999998</v>
          </cell>
          <cell r="BF38">
            <v>3.25</v>
          </cell>
          <cell r="BG38">
            <v>2.4500000000000002</v>
          </cell>
          <cell r="BH38">
            <v>4</v>
          </cell>
          <cell r="BI38">
            <v>3.65</v>
          </cell>
          <cell r="BJ38">
            <v>147.44999999999999</v>
          </cell>
          <cell r="BK38">
            <v>122.85</v>
          </cell>
          <cell r="BL38">
            <v>98.350000000000009</v>
          </cell>
          <cell r="BM38">
            <v>7.8500000000000005</v>
          </cell>
          <cell r="BN38">
            <v>0.28316819907857066</v>
          </cell>
          <cell r="BO38">
            <v>98.05</v>
          </cell>
          <cell r="BP38">
            <v>129.4</v>
          </cell>
          <cell r="BQ38">
            <v>137.25</v>
          </cell>
          <cell r="BR38">
            <v>142.15</v>
          </cell>
          <cell r="BS38">
            <v>143.15</v>
          </cell>
          <cell r="BT38">
            <v>137.25</v>
          </cell>
          <cell r="BU38">
            <v>135.29999999999998</v>
          </cell>
          <cell r="BV38">
            <v>137.25</v>
          </cell>
          <cell r="BW38">
            <v>149</v>
          </cell>
          <cell r="BX38">
            <v>145.1</v>
          </cell>
          <cell r="BY38">
            <v>131.35</v>
          </cell>
          <cell r="BZ38">
            <v>149.80000000000001</v>
          </cell>
          <cell r="CA38">
            <v>144.1</v>
          </cell>
          <cell r="CB38">
            <v>134.30000000000001</v>
          </cell>
          <cell r="CC38">
            <v>146.05000000000001</v>
          </cell>
          <cell r="CD38">
            <v>143.15</v>
          </cell>
          <cell r="CE38">
            <v>7.65</v>
          </cell>
          <cell r="CF38">
            <v>7.65</v>
          </cell>
          <cell r="CG38">
            <v>7.8500000000000005</v>
          </cell>
          <cell r="CH38">
            <v>7.8500000000000005</v>
          </cell>
          <cell r="CI38">
            <v>7.55</v>
          </cell>
          <cell r="CJ38">
            <v>11.950000000000001</v>
          </cell>
          <cell r="CK38">
            <v>11.35</v>
          </cell>
          <cell r="CL38">
            <v>6.1</v>
          </cell>
          <cell r="CM38">
            <v>18.799999999999997</v>
          </cell>
          <cell r="CN38">
            <v>7.75</v>
          </cell>
          <cell r="CO38">
            <v>2.9499999999999997</v>
          </cell>
          <cell r="CP38">
            <v>431.34999999999997</v>
          </cell>
        </row>
        <row r="39">
          <cell r="A39">
            <v>36</v>
          </cell>
          <cell r="B39">
            <v>2052</v>
          </cell>
          <cell r="C39">
            <v>0.85</v>
          </cell>
          <cell r="D39">
            <v>1.05</v>
          </cell>
          <cell r="E39">
            <v>1.25</v>
          </cell>
          <cell r="F39">
            <v>0.02</v>
          </cell>
          <cell r="G39">
            <v>150</v>
          </cell>
          <cell r="H39">
            <v>176.45</v>
          </cell>
          <cell r="I39">
            <v>8.1999999999999993</v>
          </cell>
          <cell r="J39">
            <v>9.6</v>
          </cell>
          <cell r="K39">
            <v>167.10000000000002</v>
          </cell>
          <cell r="L39">
            <v>159.1</v>
          </cell>
          <cell r="M39">
            <v>140.1</v>
          </cell>
          <cell r="N39">
            <v>135.1</v>
          </cell>
          <cell r="O39">
            <v>127.10000000000001</v>
          </cell>
          <cell r="P39">
            <v>164.1</v>
          </cell>
          <cell r="Q39">
            <v>179.1</v>
          </cell>
          <cell r="R39">
            <v>139.1</v>
          </cell>
          <cell r="S39">
            <v>8.1999999999999993</v>
          </cell>
          <cell r="T39">
            <v>7.8000000000000007</v>
          </cell>
          <cell r="U39">
            <v>7.1999999999999993</v>
          </cell>
          <cell r="V39">
            <v>10.1</v>
          </cell>
          <cell r="W39">
            <v>23</v>
          </cell>
          <cell r="X39">
            <v>66.8</v>
          </cell>
          <cell r="Y39">
            <v>100.3</v>
          </cell>
          <cell r="Z39">
            <v>167.10000000000002</v>
          </cell>
          <cell r="AA39">
            <v>98.6</v>
          </cell>
          <cell r="AB39">
            <v>19.55</v>
          </cell>
          <cell r="AC39">
            <v>56.8</v>
          </cell>
          <cell r="AD39">
            <v>85.25</v>
          </cell>
          <cell r="AE39">
            <v>142.05000000000001</v>
          </cell>
          <cell r="AF39">
            <v>83.800000000000011</v>
          </cell>
          <cell r="AG39">
            <v>176.45</v>
          </cell>
          <cell r="AH39">
            <v>151.30000000000001</v>
          </cell>
          <cell r="AI39">
            <v>143.9</v>
          </cell>
          <cell r="AJ39">
            <v>130.1</v>
          </cell>
          <cell r="AK39">
            <v>114.60000000000001</v>
          </cell>
          <cell r="AL39">
            <v>7.8000000000000007</v>
          </cell>
          <cell r="AM39">
            <v>66.8</v>
          </cell>
          <cell r="AN39">
            <v>100.3</v>
          </cell>
          <cell r="AO39">
            <v>167.10000000000002</v>
          </cell>
          <cell r="AP39">
            <v>7.8000000000000007</v>
          </cell>
          <cell r="AQ39">
            <v>7.8000000000000007</v>
          </cell>
          <cell r="AR39">
            <v>7.8000000000000007</v>
          </cell>
          <cell r="AS39">
            <v>7.8000000000000007</v>
          </cell>
          <cell r="AT39">
            <v>7.8000000000000007</v>
          </cell>
          <cell r="AU39">
            <v>7.8000000000000007</v>
          </cell>
          <cell r="AV39">
            <v>167.10000000000002</v>
          </cell>
          <cell r="AW39">
            <v>0.19600000000000001</v>
          </cell>
          <cell r="AX39">
            <v>0.19600000000000001</v>
          </cell>
          <cell r="AY39">
            <v>0.19600000000000001</v>
          </cell>
          <cell r="AZ39">
            <v>0.19600000000000001</v>
          </cell>
          <cell r="BA39">
            <v>0.19600000000000001</v>
          </cell>
          <cell r="BB39">
            <v>19.863750562144144</v>
          </cell>
          <cell r="BC39">
            <v>17.480100494686845</v>
          </cell>
          <cell r="BD39">
            <v>1.4158409953928535</v>
          </cell>
          <cell r="BE39">
            <v>2.1</v>
          </cell>
          <cell r="BF39">
            <v>3.3000000000000003</v>
          </cell>
          <cell r="BG39">
            <v>2.5</v>
          </cell>
          <cell r="BH39">
            <v>4.0999999999999996</v>
          </cell>
          <cell r="BI39">
            <v>3.7</v>
          </cell>
          <cell r="BJ39">
            <v>150.39999999999998</v>
          </cell>
          <cell r="BK39">
            <v>125.3</v>
          </cell>
          <cell r="BL39">
            <v>100.3</v>
          </cell>
          <cell r="BM39">
            <v>8</v>
          </cell>
          <cell r="BN39">
            <v>0.28316819907857066</v>
          </cell>
          <cell r="BO39">
            <v>100</v>
          </cell>
          <cell r="BP39">
            <v>132</v>
          </cell>
          <cell r="BQ39">
            <v>140</v>
          </cell>
          <cell r="BR39">
            <v>145</v>
          </cell>
          <cell r="BS39">
            <v>146</v>
          </cell>
          <cell r="BT39">
            <v>140</v>
          </cell>
          <cell r="BU39">
            <v>138</v>
          </cell>
          <cell r="BV39">
            <v>140</v>
          </cell>
          <cell r="BW39">
            <v>152</v>
          </cell>
          <cell r="BX39">
            <v>148</v>
          </cell>
          <cell r="BY39">
            <v>134</v>
          </cell>
          <cell r="BZ39">
            <v>152.79999999999998</v>
          </cell>
          <cell r="CA39">
            <v>147</v>
          </cell>
          <cell r="CB39">
            <v>137</v>
          </cell>
          <cell r="CC39">
            <v>149</v>
          </cell>
          <cell r="CD39">
            <v>146</v>
          </cell>
          <cell r="CE39">
            <v>7.8000000000000007</v>
          </cell>
          <cell r="CF39">
            <v>7.8000000000000007</v>
          </cell>
          <cell r="CG39">
            <v>8</v>
          </cell>
          <cell r="CH39">
            <v>8</v>
          </cell>
          <cell r="CI39">
            <v>7.7</v>
          </cell>
          <cell r="CJ39">
            <v>12.2</v>
          </cell>
          <cell r="CK39">
            <v>11.6</v>
          </cell>
          <cell r="CL39">
            <v>6.2</v>
          </cell>
          <cell r="CM39">
            <v>19.2</v>
          </cell>
          <cell r="CN39">
            <v>7.9</v>
          </cell>
          <cell r="CO39">
            <v>3</v>
          </cell>
          <cell r="CP39">
            <v>440</v>
          </cell>
        </row>
        <row r="40">
          <cell r="A40">
            <v>37</v>
          </cell>
          <cell r="B40">
            <v>2053</v>
          </cell>
          <cell r="C40">
            <v>0.85</v>
          </cell>
          <cell r="D40">
            <v>1.05</v>
          </cell>
          <cell r="E40">
            <v>1.25</v>
          </cell>
          <cell r="F40">
            <v>0.02</v>
          </cell>
          <cell r="G40">
            <v>153</v>
          </cell>
          <cell r="H40">
            <v>180</v>
          </cell>
          <cell r="I40">
            <v>8.35</v>
          </cell>
          <cell r="J40">
            <v>9.8000000000000007</v>
          </cell>
          <cell r="K40">
            <v>170.45000000000002</v>
          </cell>
          <cell r="L40">
            <v>162.25</v>
          </cell>
          <cell r="M40">
            <v>142.89999999999998</v>
          </cell>
          <cell r="N40">
            <v>137.79999999999998</v>
          </cell>
          <cell r="O40">
            <v>129.65</v>
          </cell>
          <cell r="P40">
            <v>167.35</v>
          </cell>
          <cell r="Q40">
            <v>182.65</v>
          </cell>
          <cell r="R40">
            <v>141.85</v>
          </cell>
          <cell r="S40">
            <v>8.35</v>
          </cell>
          <cell r="T40">
            <v>7.95</v>
          </cell>
          <cell r="U40">
            <v>7.35</v>
          </cell>
          <cell r="V40">
            <v>10.3</v>
          </cell>
          <cell r="W40">
            <v>23.450000000000003</v>
          </cell>
          <cell r="X40">
            <v>68.150000000000006</v>
          </cell>
          <cell r="Y40">
            <v>102.30000000000001</v>
          </cell>
          <cell r="Z40">
            <v>170.45000000000002</v>
          </cell>
          <cell r="AA40">
            <v>100.55</v>
          </cell>
          <cell r="AB40">
            <v>19.950000000000003</v>
          </cell>
          <cell r="AC40">
            <v>57.95</v>
          </cell>
          <cell r="AD40">
            <v>86.95</v>
          </cell>
          <cell r="AE40">
            <v>144.9</v>
          </cell>
          <cell r="AF40">
            <v>85.45</v>
          </cell>
          <cell r="AG40">
            <v>180</v>
          </cell>
          <cell r="AH40">
            <v>154.30000000000001</v>
          </cell>
          <cell r="AI40">
            <v>146.75</v>
          </cell>
          <cell r="AJ40">
            <v>132.69999999999999</v>
          </cell>
          <cell r="AK40">
            <v>116.89999999999999</v>
          </cell>
          <cell r="AL40">
            <v>7.95</v>
          </cell>
          <cell r="AM40">
            <v>68.150000000000006</v>
          </cell>
          <cell r="AN40">
            <v>102.30000000000001</v>
          </cell>
          <cell r="AO40">
            <v>170.45000000000002</v>
          </cell>
          <cell r="AP40">
            <v>7.95</v>
          </cell>
          <cell r="AQ40">
            <v>7.95</v>
          </cell>
          <cell r="AR40">
            <v>7.95</v>
          </cell>
          <cell r="AS40">
            <v>7.95</v>
          </cell>
          <cell r="AT40">
            <v>7.95</v>
          </cell>
          <cell r="AU40">
            <v>7.95</v>
          </cell>
          <cell r="AV40">
            <v>170.45000000000002</v>
          </cell>
          <cell r="AW40">
            <v>0.19600000000000001</v>
          </cell>
          <cell r="AX40">
            <v>0.19600000000000001</v>
          </cell>
          <cell r="AY40">
            <v>0.19600000000000001</v>
          </cell>
          <cell r="AZ40">
            <v>0.19600000000000001</v>
          </cell>
          <cell r="BA40">
            <v>0.19600000000000001</v>
          </cell>
          <cell r="BB40">
            <v>19.863750562144144</v>
          </cell>
          <cell r="BC40">
            <v>17.480100494686845</v>
          </cell>
          <cell r="BD40">
            <v>1.4158409953928535</v>
          </cell>
          <cell r="BE40">
            <v>2.15</v>
          </cell>
          <cell r="BF40">
            <v>3.35</v>
          </cell>
          <cell r="BG40">
            <v>2.5499999999999998</v>
          </cell>
          <cell r="BH40">
            <v>4.2</v>
          </cell>
          <cell r="BI40">
            <v>3.75</v>
          </cell>
          <cell r="BJ40">
            <v>153.4</v>
          </cell>
          <cell r="BK40">
            <v>127.8</v>
          </cell>
          <cell r="BL40">
            <v>102.30000000000001</v>
          </cell>
          <cell r="BM40">
            <v>8.1499999999999986</v>
          </cell>
          <cell r="BN40">
            <v>0.28316819907857066</v>
          </cell>
          <cell r="BO40">
            <v>102</v>
          </cell>
          <cell r="BP40">
            <v>134.65</v>
          </cell>
          <cell r="BQ40">
            <v>142.79999999999998</v>
          </cell>
          <cell r="BR40">
            <v>147.89999999999998</v>
          </cell>
          <cell r="BS40">
            <v>148.9</v>
          </cell>
          <cell r="BT40">
            <v>142.79999999999998</v>
          </cell>
          <cell r="BU40">
            <v>140.75</v>
          </cell>
          <cell r="BV40">
            <v>142.79999999999998</v>
          </cell>
          <cell r="BW40">
            <v>155.05000000000001</v>
          </cell>
          <cell r="BX40">
            <v>150.95000000000002</v>
          </cell>
          <cell r="BY40">
            <v>136.64999999999998</v>
          </cell>
          <cell r="BZ40">
            <v>155.85000000000002</v>
          </cell>
          <cell r="CA40">
            <v>149.94999999999999</v>
          </cell>
          <cell r="CB40">
            <v>139.75</v>
          </cell>
          <cell r="CC40">
            <v>151.94999999999999</v>
          </cell>
          <cell r="CD40">
            <v>148.9</v>
          </cell>
          <cell r="CE40">
            <v>7.95</v>
          </cell>
          <cell r="CF40">
            <v>7.95</v>
          </cell>
          <cell r="CG40">
            <v>8.1499999999999986</v>
          </cell>
          <cell r="CH40">
            <v>8.1499999999999986</v>
          </cell>
          <cell r="CI40">
            <v>7.8500000000000005</v>
          </cell>
          <cell r="CJ40">
            <v>12.450000000000001</v>
          </cell>
          <cell r="CK40">
            <v>11.850000000000001</v>
          </cell>
          <cell r="CL40">
            <v>6.3</v>
          </cell>
          <cell r="CM40">
            <v>19.600000000000001</v>
          </cell>
          <cell r="CN40">
            <v>8.0500000000000007</v>
          </cell>
          <cell r="CO40">
            <v>3.05</v>
          </cell>
          <cell r="CP40">
            <v>448.8</v>
          </cell>
        </row>
        <row r="41">
          <cell r="A41">
            <v>38</v>
          </cell>
          <cell r="B41">
            <v>2054</v>
          </cell>
          <cell r="C41">
            <v>0.85</v>
          </cell>
          <cell r="D41">
            <v>1.05</v>
          </cell>
          <cell r="E41">
            <v>1.25</v>
          </cell>
          <cell r="F41">
            <v>0.02</v>
          </cell>
          <cell r="G41">
            <v>156.05000000000001</v>
          </cell>
          <cell r="H41">
            <v>183.6</v>
          </cell>
          <cell r="I41">
            <v>8.5500000000000007</v>
          </cell>
          <cell r="J41">
            <v>10</v>
          </cell>
          <cell r="K41">
            <v>173.85000000000002</v>
          </cell>
          <cell r="L41">
            <v>165.5</v>
          </cell>
          <cell r="M41">
            <v>145.75</v>
          </cell>
          <cell r="N41">
            <v>140.55000000000001</v>
          </cell>
          <cell r="O41">
            <v>132.25</v>
          </cell>
          <cell r="P41">
            <v>170.7</v>
          </cell>
          <cell r="Q41">
            <v>186.35000000000002</v>
          </cell>
          <cell r="R41">
            <v>144.70000000000002</v>
          </cell>
          <cell r="S41">
            <v>8.5500000000000007</v>
          </cell>
          <cell r="T41">
            <v>8.1000000000000014</v>
          </cell>
          <cell r="U41">
            <v>7.5</v>
          </cell>
          <cell r="V41">
            <v>10.5</v>
          </cell>
          <cell r="W41">
            <v>23.95</v>
          </cell>
          <cell r="X41">
            <v>69.5</v>
          </cell>
          <cell r="Y41">
            <v>104.35000000000001</v>
          </cell>
          <cell r="Z41">
            <v>173.85000000000002</v>
          </cell>
          <cell r="AA41">
            <v>102.6</v>
          </cell>
          <cell r="AB41">
            <v>20.350000000000001</v>
          </cell>
          <cell r="AC41">
            <v>59.1</v>
          </cell>
          <cell r="AD41">
            <v>88.699999999999989</v>
          </cell>
          <cell r="AE41">
            <v>147.75</v>
          </cell>
          <cell r="AF41">
            <v>87.2</v>
          </cell>
          <cell r="AG41">
            <v>183.6</v>
          </cell>
          <cell r="AH41">
            <v>157.4</v>
          </cell>
          <cell r="AI41">
            <v>149.70000000000002</v>
          </cell>
          <cell r="AJ41">
            <v>135.35</v>
          </cell>
          <cell r="AK41">
            <v>119.2</v>
          </cell>
          <cell r="AL41">
            <v>8.1000000000000014</v>
          </cell>
          <cell r="AM41">
            <v>69.5</v>
          </cell>
          <cell r="AN41">
            <v>104.35000000000001</v>
          </cell>
          <cell r="AO41">
            <v>173.85000000000002</v>
          </cell>
          <cell r="AP41">
            <v>8.1000000000000014</v>
          </cell>
          <cell r="AQ41">
            <v>8.1000000000000014</v>
          </cell>
          <cell r="AR41">
            <v>8.1000000000000014</v>
          </cell>
          <cell r="AS41">
            <v>8.1000000000000014</v>
          </cell>
          <cell r="AT41">
            <v>8.1000000000000014</v>
          </cell>
          <cell r="AU41">
            <v>8.1000000000000014</v>
          </cell>
          <cell r="AV41">
            <v>173.85000000000002</v>
          </cell>
          <cell r="AW41">
            <v>0.19600000000000001</v>
          </cell>
          <cell r="AX41">
            <v>0.19600000000000001</v>
          </cell>
          <cell r="AY41">
            <v>0.19600000000000001</v>
          </cell>
          <cell r="AZ41">
            <v>0.19600000000000001</v>
          </cell>
          <cell r="BA41">
            <v>0.19600000000000001</v>
          </cell>
          <cell r="BB41">
            <v>19.863750562144144</v>
          </cell>
          <cell r="BC41">
            <v>17.480100494686845</v>
          </cell>
          <cell r="BD41">
            <v>1.4158409953928535</v>
          </cell>
          <cell r="BE41">
            <v>2.2000000000000002</v>
          </cell>
          <cell r="BF41">
            <v>3.4499999999999997</v>
          </cell>
          <cell r="BG41">
            <v>2.6</v>
          </cell>
          <cell r="BH41">
            <v>4.25</v>
          </cell>
          <cell r="BI41">
            <v>3.85</v>
          </cell>
          <cell r="BJ41">
            <v>156.44999999999999</v>
          </cell>
          <cell r="BK41">
            <v>130.35</v>
          </cell>
          <cell r="BL41">
            <v>104.35000000000001</v>
          </cell>
          <cell r="BM41">
            <v>8.2999999999999989</v>
          </cell>
          <cell r="BN41">
            <v>0.28316819907857066</v>
          </cell>
          <cell r="BO41">
            <v>104.05</v>
          </cell>
          <cell r="BP41">
            <v>137.35</v>
          </cell>
          <cell r="BQ41">
            <v>145.65</v>
          </cell>
          <cell r="BR41">
            <v>150.85000000000002</v>
          </cell>
          <cell r="BS41">
            <v>151.9</v>
          </cell>
          <cell r="BT41">
            <v>145.65</v>
          </cell>
          <cell r="BU41">
            <v>143.55000000000001</v>
          </cell>
          <cell r="BV41">
            <v>145.65</v>
          </cell>
          <cell r="BW41">
            <v>158.15</v>
          </cell>
          <cell r="BX41">
            <v>153.94999999999999</v>
          </cell>
          <cell r="BY41">
            <v>139.4</v>
          </cell>
          <cell r="BZ41">
            <v>158.94999999999999</v>
          </cell>
          <cell r="CA41">
            <v>152.94999999999999</v>
          </cell>
          <cell r="CB41">
            <v>142.55000000000001</v>
          </cell>
          <cell r="CC41">
            <v>155</v>
          </cell>
          <cell r="CD41">
            <v>151.9</v>
          </cell>
          <cell r="CE41">
            <v>8.1000000000000014</v>
          </cell>
          <cell r="CF41">
            <v>8.1000000000000014</v>
          </cell>
          <cell r="CG41">
            <v>8.2999999999999989</v>
          </cell>
          <cell r="CH41">
            <v>8.2999999999999989</v>
          </cell>
          <cell r="CI41">
            <v>8</v>
          </cell>
          <cell r="CJ41">
            <v>12.7</v>
          </cell>
          <cell r="CK41">
            <v>12.05</v>
          </cell>
          <cell r="CL41">
            <v>6.45</v>
          </cell>
          <cell r="CM41">
            <v>19.950000000000003</v>
          </cell>
          <cell r="CN41">
            <v>8.1999999999999993</v>
          </cell>
          <cell r="CO41">
            <v>3.1</v>
          </cell>
          <cell r="CP41">
            <v>457.75</v>
          </cell>
        </row>
        <row r="42">
          <cell r="A42">
            <v>39</v>
          </cell>
          <cell r="B42">
            <v>2055</v>
          </cell>
          <cell r="C42">
            <v>0.85</v>
          </cell>
          <cell r="D42">
            <v>1.05</v>
          </cell>
          <cell r="E42">
            <v>1.25</v>
          </cell>
          <cell r="F42">
            <v>0.02</v>
          </cell>
          <cell r="G42">
            <v>159.14999999999998</v>
          </cell>
          <cell r="H42">
            <v>187.25</v>
          </cell>
          <cell r="I42">
            <v>8.6999999999999993</v>
          </cell>
          <cell r="J42">
            <v>10.199999999999999</v>
          </cell>
          <cell r="K42">
            <v>177.3</v>
          </cell>
          <cell r="L42">
            <v>168.85000000000002</v>
          </cell>
          <cell r="M42">
            <v>148.65</v>
          </cell>
          <cell r="N42">
            <v>143.35000000000002</v>
          </cell>
          <cell r="O42">
            <v>134.85</v>
          </cell>
          <cell r="P42">
            <v>174.14999999999998</v>
          </cell>
          <cell r="Q42">
            <v>190.04999999999998</v>
          </cell>
          <cell r="R42">
            <v>147.6</v>
          </cell>
          <cell r="S42">
            <v>8.6999999999999993</v>
          </cell>
          <cell r="T42">
            <v>8.2999999999999989</v>
          </cell>
          <cell r="U42">
            <v>7.65</v>
          </cell>
          <cell r="V42">
            <v>10.700000000000001</v>
          </cell>
          <cell r="W42">
            <v>24.4</v>
          </cell>
          <cell r="X42">
            <v>70.900000000000006</v>
          </cell>
          <cell r="Y42">
            <v>106.44999999999999</v>
          </cell>
          <cell r="Z42">
            <v>177.3</v>
          </cell>
          <cell r="AA42">
            <v>104.65</v>
          </cell>
          <cell r="AB42">
            <v>20.75</v>
          </cell>
          <cell r="AC42">
            <v>60.25</v>
          </cell>
          <cell r="AD42">
            <v>90.5</v>
          </cell>
          <cell r="AE42">
            <v>150.69999999999999</v>
          </cell>
          <cell r="AF42">
            <v>88.949999999999989</v>
          </cell>
          <cell r="AG42">
            <v>187.25</v>
          </cell>
          <cell r="AH42">
            <v>160.55000000000001</v>
          </cell>
          <cell r="AI42">
            <v>152.69999999999999</v>
          </cell>
          <cell r="AJ42">
            <v>138.05000000000001</v>
          </cell>
          <cell r="AK42">
            <v>121.6</v>
          </cell>
          <cell r="AL42">
            <v>8.2999999999999989</v>
          </cell>
          <cell r="AM42">
            <v>70.900000000000006</v>
          </cell>
          <cell r="AN42">
            <v>106.44999999999999</v>
          </cell>
          <cell r="AO42">
            <v>177.3</v>
          </cell>
          <cell r="AP42">
            <v>8.2999999999999989</v>
          </cell>
          <cell r="AQ42">
            <v>8.2999999999999989</v>
          </cell>
          <cell r="AR42">
            <v>8.2999999999999989</v>
          </cell>
          <cell r="AS42">
            <v>8.2999999999999989</v>
          </cell>
          <cell r="AT42">
            <v>8.2999999999999989</v>
          </cell>
          <cell r="AU42">
            <v>8.2999999999999989</v>
          </cell>
          <cell r="AV42">
            <v>177.3</v>
          </cell>
          <cell r="AW42">
            <v>0.19600000000000001</v>
          </cell>
          <cell r="AX42">
            <v>0.19600000000000001</v>
          </cell>
          <cell r="AY42">
            <v>0.19600000000000001</v>
          </cell>
          <cell r="AZ42">
            <v>0.19600000000000001</v>
          </cell>
          <cell r="BA42">
            <v>0.19600000000000001</v>
          </cell>
          <cell r="BB42">
            <v>19.863750562144144</v>
          </cell>
          <cell r="BC42">
            <v>17.480100494686845</v>
          </cell>
          <cell r="BD42">
            <v>1.4158409953928535</v>
          </cell>
          <cell r="BE42">
            <v>2.25</v>
          </cell>
          <cell r="BF42">
            <v>3.5</v>
          </cell>
          <cell r="BG42">
            <v>2.6500000000000004</v>
          </cell>
          <cell r="BH42">
            <v>4.3499999999999996</v>
          </cell>
          <cell r="BI42">
            <v>3.95</v>
          </cell>
          <cell r="BJ42">
            <v>159.60000000000002</v>
          </cell>
          <cell r="BK42">
            <v>132.94999999999999</v>
          </cell>
          <cell r="BL42">
            <v>106.44999999999999</v>
          </cell>
          <cell r="BM42">
            <v>8.5</v>
          </cell>
          <cell r="BN42">
            <v>0.28316819907857066</v>
          </cell>
          <cell r="BO42">
            <v>106.1</v>
          </cell>
          <cell r="BP42">
            <v>140.05000000000001</v>
          </cell>
          <cell r="BQ42">
            <v>148.55000000000001</v>
          </cell>
          <cell r="BR42">
            <v>153.85</v>
          </cell>
          <cell r="BS42">
            <v>154.94999999999999</v>
          </cell>
          <cell r="BT42">
            <v>148.55000000000001</v>
          </cell>
          <cell r="BU42">
            <v>146.44999999999999</v>
          </cell>
          <cell r="BV42">
            <v>148.55000000000001</v>
          </cell>
          <cell r="BW42">
            <v>161.29999999999998</v>
          </cell>
          <cell r="BX42">
            <v>157.05000000000001</v>
          </cell>
          <cell r="BY42">
            <v>142.20000000000002</v>
          </cell>
          <cell r="BZ42">
            <v>162.15</v>
          </cell>
          <cell r="CA42">
            <v>156</v>
          </cell>
          <cell r="CB42">
            <v>145.39999999999998</v>
          </cell>
          <cell r="CC42">
            <v>158.1</v>
          </cell>
          <cell r="CD42">
            <v>154.94999999999999</v>
          </cell>
          <cell r="CE42">
            <v>8.2999999999999989</v>
          </cell>
          <cell r="CF42">
            <v>8.2999999999999989</v>
          </cell>
          <cell r="CG42">
            <v>8.5</v>
          </cell>
          <cell r="CH42">
            <v>8.5</v>
          </cell>
          <cell r="CI42">
            <v>8.1499999999999986</v>
          </cell>
          <cell r="CJ42">
            <v>12.95</v>
          </cell>
          <cell r="CK42">
            <v>12.3</v>
          </cell>
          <cell r="CL42">
            <v>6.6000000000000005</v>
          </cell>
          <cell r="CM42">
            <v>20.350000000000001</v>
          </cell>
          <cell r="CN42">
            <v>8.4</v>
          </cell>
          <cell r="CO42">
            <v>3.2</v>
          </cell>
          <cell r="CP42">
            <v>466.9</v>
          </cell>
        </row>
        <row r="43">
          <cell r="A43">
            <v>40</v>
          </cell>
          <cell r="B43">
            <v>2056</v>
          </cell>
          <cell r="C43">
            <v>0.85</v>
          </cell>
          <cell r="D43">
            <v>1.05</v>
          </cell>
          <cell r="E43">
            <v>1.25</v>
          </cell>
          <cell r="F43">
            <v>0.02</v>
          </cell>
          <cell r="G43">
            <v>162.35</v>
          </cell>
          <cell r="H43">
            <v>191</v>
          </cell>
          <cell r="I43">
            <v>8.9</v>
          </cell>
          <cell r="J43">
            <v>10.4</v>
          </cell>
          <cell r="K43">
            <v>180.85000000000002</v>
          </cell>
          <cell r="L43">
            <v>172.2</v>
          </cell>
          <cell r="M43">
            <v>151.64999999999998</v>
          </cell>
          <cell r="N43">
            <v>146.25</v>
          </cell>
          <cell r="O43">
            <v>137.55000000000001</v>
          </cell>
          <cell r="P43">
            <v>177.60000000000002</v>
          </cell>
          <cell r="Q43">
            <v>193.85000000000002</v>
          </cell>
          <cell r="R43">
            <v>150.55000000000001</v>
          </cell>
          <cell r="S43">
            <v>8.9</v>
          </cell>
          <cell r="T43">
            <v>8.4499999999999993</v>
          </cell>
          <cell r="U43">
            <v>7.8000000000000007</v>
          </cell>
          <cell r="V43">
            <v>10.95</v>
          </cell>
          <cell r="W43">
            <v>24.900000000000002</v>
          </cell>
          <cell r="X43">
            <v>72.300000000000011</v>
          </cell>
          <cell r="Y43">
            <v>108.55000000000001</v>
          </cell>
          <cell r="Z43">
            <v>180.85000000000002</v>
          </cell>
          <cell r="AA43">
            <v>106.7</v>
          </cell>
          <cell r="AB43">
            <v>21.150000000000002</v>
          </cell>
          <cell r="AC43">
            <v>61.449999999999996</v>
          </cell>
          <cell r="AD43">
            <v>92.25</v>
          </cell>
          <cell r="AE43">
            <v>153.69999999999999</v>
          </cell>
          <cell r="AF43">
            <v>90.7</v>
          </cell>
          <cell r="AG43">
            <v>191</v>
          </cell>
          <cell r="AH43">
            <v>163.75</v>
          </cell>
          <cell r="AI43">
            <v>155.75</v>
          </cell>
          <cell r="AJ43">
            <v>140.80000000000001</v>
          </cell>
          <cell r="AK43">
            <v>124.05</v>
          </cell>
          <cell r="AL43">
            <v>8.4499999999999993</v>
          </cell>
          <cell r="AM43">
            <v>72.300000000000011</v>
          </cell>
          <cell r="AN43">
            <v>108.55000000000001</v>
          </cell>
          <cell r="AO43">
            <v>180.85000000000002</v>
          </cell>
          <cell r="AP43">
            <v>8.4499999999999993</v>
          </cell>
          <cell r="AQ43">
            <v>8.4499999999999993</v>
          </cell>
          <cell r="AR43">
            <v>8.4499999999999993</v>
          </cell>
          <cell r="AS43">
            <v>8.4499999999999993</v>
          </cell>
          <cell r="AT43">
            <v>8.4499999999999993</v>
          </cell>
          <cell r="AU43">
            <v>8.4499999999999993</v>
          </cell>
          <cell r="AV43">
            <v>180.85000000000002</v>
          </cell>
          <cell r="AW43">
            <v>0.19600000000000001</v>
          </cell>
          <cell r="AX43">
            <v>0.19600000000000001</v>
          </cell>
          <cell r="AY43">
            <v>0.19600000000000001</v>
          </cell>
          <cell r="AZ43">
            <v>0.19600000000000001</v>
          </cell>
          <cell r="BA43">
            <v>0.19600000000000001</v>
          </cell>
          <cell r="BB43">
            <v>19.863750562144144</v>
          </cell>
          <cell r="BC43">
            <v>17.480100494686845</v>
          </cell>
          <cell r="BD43">
            <v>1.4158409953928535</v>
          </cell>
          <cell r="BE43">
            <v>2.25</v>
          </cell>
          <cell r="BF43">
            <v>3.55</v>
          </cell>
          <cell r="BG43">
            <v>2.7</v>
          </cell>
          <cell r="BH43">
            <v>4.45</v>
          </cell>
          <cell r="BI43">
            <v>4</v>
          </cell>
          <cell r="BJ43">
            <v>162.80000000000001</v>
          </cell>
          <cell r="BK43">
            <v>135.6</v>
          </cell>
          <cell r="BL43">
            <v>108.55000000000001</v>
          </cell>
          <cell r="BM43">
            <v>8.65</v>
          </cell>
          <cell r="BN43">
            <v>0.28316819907857066</v>
          </cell>
          <cell r="BO43">
            <v>108.25</v>
          </cell>
          <cell r="BP43">
            <v>142.85</v>
          </cell>
          <cell r="BQ43">
            <v>151.54999999999998</v>
          </cell>
          <cell r="BR43">
            <v>156.94999999999999</v>
          </cell>
          <cell r="BS43">
            <v>158.05000000000001</v>
          </cell>
          <cell r="BT43">
            <v>151.54999999999998</v>
          </cell>
          <cell r="BU43">
            <v>149.35</v>
          </cell>
          <cell r="BV43">
            <v>151.54999999999998</v>
          </cell>
          <cell r="BW43">
            <v>164.5</v>
          </cell>
          <cell r="BX43">
            <v>160.19999999999999</v>
          </cell>
          <cell r="BY43">
            <v>145.05000000000001</v>
          </cell>
          <cell r="BZ43">
            <v>165.39999999999998</v>
          </cell>
          <cell r="CA43">
            <v>159.1</v>
          </cell>
          <cell r="CB43">
            <v>148.30000000000001</v>
          </cell>
          <cell r="CC43">
            <v>161.25</v>
          </cell>
          <cell r="CD43">
            <v>158.05000000000001</v>
          </cell>
          <cell r="CE43">
            <v>8.4499999999999993</v>
          </cell>
          <cell r="CF43">
            <v>8.4499999999999993</v>
          </cell>
          <cell r="CG43">
            <v>8.65</v>
          </cell>
          <cell r="CH43">
            <v>8.65</v>
          </cell>
          <cell r="CI43">
            <v>8.35</v>
          </cell>
          <cell r="CJ43">
            <v>13.200000000000001</v>
          </cell>
          <cell r="CK43">
            <v>12.549999999999999</v>
          </cell>
          <cell r="CL43">
            <v>6.7</v>
          </cell>
          <cell r="CM43">
            <v>20.8</v>
          </cell>
          <cell r="CN43">
            <v>8.5500000000000007</v>
          </cell>
          <cell r="CO43">
            <v>3.25</v>
          </cell>
          <cell r="CP43">
            <v>476.25</v>
          </cell>
        </row>
        <row r="44">
          <cell r="A44">
            <v>41</v>
          </cell>
          <cell r="B44">
            <v>2057</v>
          </cell>
          <cell r="C44">
            <v>0.85</v>
          </cell>
          <cell r="D44">
            <v>1.05</v>
          </cell>
          <cell r="E44">
            <v>1.25</v>
          </cell>
          <cell r="F44">
            <v>0.02</v>
          </cell>
          <cell r="G44">
            <v>165.6</v>
          </cell>
          <cell r="H44">
            <v>194.85</v>
          </cell>
          <cell r="I44">
            <v>9.0500000000000007</v>
          </cell>
          <cell r="J44">
            <v>10.600000000000001</v>
          </cell>
          <cell r="K44">
            <v>184.5</v>
          </cell>
          <cell r="L44">
            <v>175.65</v>
          </cell>
          <cell r="M44">
            <v>154.65</v>
          </cell>
          <cell r="N44">
            <v>149.14999999999998</v>
          </cell>
          <cell r="O44">
            <v>140.29999999999998</v>
          </cell>
          <cell r="P44">
            <v>181.14999999999998</v>
          </cell>
          <cell r="Q44">
            <v>197.75</v>
          </cell>
          <cell r="R44">
            <v>153.55000000000001</v>
          </cell>
          <cell r="S44">
            <v>9.0500000000000007</v>
          </cell>
          <cell r="T44">
            <v>8.6</v>
          </cell>
          <cell r="U44">
            <v>7.95</v>
          </cell>
          <cell r="V44">
            <v>11.15</v>
          </cell>
          <cell r="W44">
            <v>25.4</v>
          </cell>
          <cell r="X44">
            <v>73.75</v>
          </cell>
          <cell r="Y44">
            <v>110.75</v>
          </cell>
          <cell r="Z44">
            <v>184.5</v>
          </cell>
          <cell r="AA44">
            <v>108.85</v>
          </cell>
          <cell r="AB44">
            <v>21.6</v>
          </cell>
          <cell r="AC44">
            <v>62.699999999999996</v>
          </cell>
          <cell r="AD44">
            <v>94.149999999999991</v>
          </cell>
          <cell r="AE44">
            <v>156.85</v>
          </cell>
          <cell r="AF44">
            <v>92.5</v>
          </cell>
          <cell r="AG44">
            <v>194.85</v>
          </cell>
          <cell r="AH44">
            <v>167.04999999999998</v>
          </cell>
          <cell r="AI44">
            <v>158.85</v>
          </cell>
          <cell r="AJ44">
            <v>143.65</v>
          </cell>
          <cell r="AK44">
            <v>126.5</v>
          </cell>
          <cell r="AL44">
            <v>8.6</v>
          </cell>
          <cell r="AM44">
            <v>73.75</v>
          </cell>
          <cell r="AN44">
            <v>110.75</v>
          </cell>
          <cell r="AO44">
            <v>184.5</v>
          </cell>
          <cell r="AP44">
            <v>8.6</v>
          </cell>
          <cell r="AQ44">
            <v>8.6</v>
          </cell>
          <cell r="AR44">
            <v>8.6</v>
          </cell>
          <cell r="AS44">
            <v>8.6</v>
          </cell>
          <cell r="AT44">
            <v>8.6</v>
          </cell>
          <cell r="AU44">
            <v>8.6</v>
          </cell>
          <cell r="AV44">
            <v>184.5</v>
          </cell>
          <cell r="AW44">
            <v>0.19600000000000001</v>
          </cell>
          <cell r="AX44">
            <v>0.19600000000000001</v>
          </cell>
          <cell r="AY44">
            <v>0.19600000000000001</v>
          </cell>
          <cell r="AZ44">
            <v>0.19600000000000001</v>
          </cell>
          <cell r="BA44">
            <v>0.19600000000000001</v>
          </cell>
          <cell r="BB44">
            <v>19.863750562144144</v>
          </cell>
          <cell r="BC44">
            <v>17.480100494686845</v>
          </cell>
          <cell r="BD44">
            <v>1.4158409953928535</v>
          </cell>
          <cell r="BE44">
            <v>2.3000000000000003</v>
          </cell>
          <cell r="BF44">
            <v>3.65</v>
          </cell>
          <cell r="BG44">
            <v>2.75</v>
          </cell>
          <cell r="BH44">
            <v>4.55</v>
          </cell>
          <cell r="BI44">
            <v>4.0999999999999996</v>
          </cell>
          <cell r="BJ44">
            <v>166.05</v>
          </cell>
          <cell r="BK44">
            <v>138.35000000000002</v>
          </cell>
          <cell r="BL44">
            <v>110.75</v>
          </cell>
          <cell r="BM44">
            <v>8.85</v>
          </cell>
          <cell r="BN44">
            <v>0.28316819907857066</v>
          </cell>
          <cell r="BO44">
            <v>110.39999999999999</v>
          </cell>
          <cell r="BP44">
            <v>145.75</v>
          </cell>
          <cell r="BQ44">
            <v>154.55000000000001</v>
          </cell>
          <cell r="BR44">
            <v>160.10000000000002</v>
          </cell>
          <cell r="BS44">
            <v>161.20000000000002</v>
          </cell>
          <cell r="BT44">
            <v>154.55000000000001</v>
          </cell>
          <cell r="BU44">
            <v>152.35</v>
          </cell>
          <cell r="BV44">
            <v>154.55000000000001</v>
          </cell>
          <cell r="BW44">
            <v>167.8</v>
          </cell>
          <cell r="BX44">
            <v>163.4</v>
          </cell>
          <cell r="BY44">
            <v>147.94999999999999</v>
          </cell>
          <cell r="BZ44">
            <v>168.70000000000002</v>
          </cell>
          <cell r="CA44">
            <v>162.30000000000001</v>
          </cell>
          <cell r="CB44">
            <v>151.25</v>
          </cell>
          <cell r="CC44">
            <v>164.5</v>
          </cell>
          <cell r="CD44">
            <v>161.20000000000002</v>
          </cell>
          <cell r="CE44">
            <v>8.6</v>
          </cell>
          <cell r="CF44">
            <v>8.6</v>
          </cell>
          <cell r="CG44">
            <v>8.85</v>
          </cell>
          <cell r="CH44">
            <v>8.85</v>
          </cell>
          <cell r="CI44">
            <v>8.5</v>
          </cell>
          <cell r="CJ44">
            <v>13.45</v>
          </cell>
          <cell r="CK44">
            <v>12.8</v>
          </cell>
          <cell r="CL44">
            <v>6.8500000000000005</v>
          </cell>
          <cell r="CM44">
            <v>21.200000000000003</v>
          </cell>
          <cell r="CN44">
            <v>8.6999999999999993</v>
          </cell>
          <cell r="CO44">
            <v>3.3000000000000003</v>
          </cell>
          <cell r="CP44">
            <v>485.75</v>
          </cell>
        </row>
        <row r="45">
          <cell r="A45">
            <v>42</v>
          </cell>
          <cell r="B45">
            <v>2058</v>
          </cell>
          <cell r="C45">
            <v>0.85</v>
          </cell>
          <cell r="D45">
            <v>1.05</v>
          </cell>
          <cell r="E45">
            <v>1.25</v>
          </cell>
          <cell r="F45">
            <v>0.02</v>
          </cell>
          <cell r="G45">
            <v>168.9</v>
          </cell>
          <cell r="H45">
            <v>198.70000000000002</v>
          </cell>
          <cell r="I45">
            <v>9.25</v>
          </cell>
          <cell r="J45">
            <v>10.8</v>
          </cell>
          <cell r="K45">
            <v>188.15</v>
          </cell>
          <cell r="L45">
            <v>179.14999999999998</v>
          </cell>
          <cell r="M45">
            <v>157.75</v>
          </cell>
          <cell r="N45">
            <v>152.15</v>
          </cell>
          <cell r="O45">
            <v>143.15</v>
          </cell>
          <cell r="P45">
            <v>184.8</v>
          </cell>
          <cell r="Q45">
            <v>201.70000000000002</v>
          </cell>
          <cell r="R45">
            <v>156.64999999999998</v>
          </cell>
          <cell r="S45">
            <v>9.25</v>
          </cell>
          <cell r="T45">
            <v>8.8000000000000007</v>
          </cell>
          <cell r="U45">
            <v>8.1000000000000014</v>
          </cell>
          <cell r="V45">
            <v>11.35</v>
          </cell>
          <cell r="W45">
            <v>25.9</v>
          </cell>
          <cell r="X45">
            <v>75.199999999999989</v>
          </cell>
          <cell r="Y45">
            <v>112.95</v>
          </cell>
          <cell r="Z45">
            <v>188.15</v>
          </cell>
          <cell r="AA45">
            <v>111.05000000000001</v>
          </cell>
          <cell r="AB45">
            <v>22</v>
          </cell>
          <cell r="AC45">
            <v>63.9</v>
          </cell>
          <cell r="AD45">
            <v>96</v>
          </cell>
          <cell r="AE45">
            <v>159.94999999999999</v>
          </cell>
          <cell r="AF45">
            <v>94.399999999999991</v>
          </cell>
          <cell r="AG45">
            <v>198.70000000000002</v>
          </cell>
          <cell r="AH45">
            <v>170.39999999999998</v>
          </cell>
          <cell r="AI45">
            <v>162.04999999999998</v>
          </cell>
          <cell r="AJ45">
            <v>146.5</v>
          </cell>
          <cell r="AK45">
            <v>129.04999999999998</v>
          </cell>
          <cell r="AL45">
            <v>8.8000000000000007</v>
          </cell>
          <cell r="AM45">
            <v>75.199999999999989</v>
          </cell>
          <cell r="AN45">
            <v>112.95</v>
          </cell>
          <cell r="AO45">
            <v>188.15</v>
          </cell>
          <cell r="AP45">
            <v>8.8000000000000007</v>
          </cell>
          <cell r="AQ45">
            <v>8.8000000000000007</v>
          </cell>
          <cell r="AR45">
            <v>8.8000000000000007</v>
          </cell>
          <cell r="AS45">
            <v>8.8000000000000007</v>
          </cell>
          <cell r="AT45">
            <v>8.8000000000000007</v>
          </cell>
          <cell r="AU45">
            <v>8.8000000000000007</v>
          </cell>
          <cell r="AV45">
            <v>188.15</v>
          </cell>
          <cell r="AW45">
            <v>0.19600000000000001</v>
          </cell>
          <cell r="AX45">
            <v>0.19600000000000001</v>
          </cell>
          <cell r="AY45">
            <v>0.19600000000000001</v>
          </cell>
          <cell r="AZ45">
            <v>0.19600000000000001</v>
          </cell>
          <cell r="BA45">
            <v>0.19600000000000001</v>
          </cell>
          <cell r="BB45">
            <v>19.863750562144144</v>
          </cell>
          <cell r="BC45">
            <v>17.480100494686845</v>
          </cell>
          <cell r="BD45">
            <v>1.4158409953928535</v>
          </cell>
          <cell r="BE45">
            <v>2.3499999999999996</v>
          </cell>
          <cell r="BF45">
            <v>3.7</v>
          </cell>
          <cell r="BG45">
            <v>2.8000000000000003</v>
          </cell>
          <cell r="BH45">
            <v>4.6000000000000005</v>
          </cell>
          <cell r="BI45">
            <v>4.1499999999999995</v>
          </cell>
          <cell r="BJ45">
            <v>169.35</v>
          </cell>
          <cell r="BK45">
            <v>141.1</v>
          </cell>
          <cell r="BL45">
            <v>112.95</v>
          </cell>
          <cell r="BM45">
            <v>9</v>
          </cell>
          <cell r="BN45">
            <v>0.28316819907857066</v>
          </cell>
          <cell r="BO45">
            <v>112.6</v>
          </cell>
          <cell r="BP45">
            <v>148.65</v>
          </cell>
          <cell r="BQ45">
            <v>157.65</v>
          </cell>
          <cell r="BR45">
            <v>163.29999999999998</v>
          </cell>
          <cell r="BS45">
            <v>164.4</v>
          </cell>
          <cell r="BT45">
            <v>157.65</v>
          </cell>
          <cell r="BU45">
            <v>155.39999999999998</v>
          </cell>
          <cell r="BV45">
            <v>157.65</v>
          </cell>
          <cell r="BW45">
            <v>171.14999999999998</v>
          </cell>
          <cell r="BX45">
            <v>166.64999999999998</v>
          </cell>
          <cell r="BY45">
            <v>150.9</v>
          </cell>
          <cell r="BZ45">
            <v>172.04999999999998</v>
          </cell>
          <cell r="CA45">
            <v>165.55</v>
          </cell>
          <cell r="CB45">
            <v>154.30000000000001</v>
          </cell>
          <cell r="CC45">
            <v>167.8</v>
          </cell>
          <cell r="CD45">
            <v>164.4</v>
          </cell>
          <cell r="CE45">
            <v>8.8000000000000007</v>
          </cell>
          <cell r="CF45">
            <v>8.8000000000000007</v>
          </cell>
          <cell r="CG45">
            <v>9</v>
          </cell>
          <cell r="CH45">
            <v>9</v>
          </cell>
          <cell r="CI45">
            <v>8.65</v>
          </cell>
          <cell r="CJ45">
            <v>13.75</v>
          </cell>
          <cell r="CK45">
            <v>13.049999999999999</v>
          </cell>
          <cell r="CL45">
            <v>7</v>
          </cell>
          <cell r="CM45">
            <v>21.6</v>
          </cell>
          <cell r="CN45">
            <v>8.9</v>
          </cell>
          <cell r="CO45">
            <v>3.4000000000000004</v>
          </cell>
          <cell r="CP45">
            <v>495.5</v>
          </cell>
        </row>
        <row r="46">
          <cell r="A46">
            <v>43</v>
          </cell>
          <cell r="B46">
            <v>2059</v>
          </cell>
          <cell r="C46">
            <v>0.85</v>
          </cell>
          <cell r="D46">
            <v>1.05</v>
          </cell>
          <cell r="E46">
            <v>1.25</v>
          </cell>
          <cell r="F46">
            <v>0.02</v>
          </cell>
          <cell r="G46">
            <v>172.3</v>
          </cell>
          <cell r="H46">
            <v>202.7</v>
          </cell>
          <cell r="I46">
            <v>9.3999999999999986</v>
          </cell>
          <cell r="J46">
            <v>11.05</v>
          </cell>
          <cell r="K46">
            <v>191.95</v>
          </cell>
          <cell r="L46">
            <v>182.75</v>
          </cell>
          <cell r="M46">
            <v>160.9</v>
          </cell>
          <cell r="N46">
            <v>155.19999999999999</v>
          </cell>
          <cell r="O46">
            <v>146</v>
          </cell>
          <cell r="P46">
            <v>188.5</v>
          </cell>
          <cell r="Q46">
            <v>205.7</v>
          </cell>
          <cell r="R46">
            <v>159.75</v>
          </cell>
          <cell r="S46">
            <v>9.3999999999999986</v>
          </cell>
          <cell r="T46">
            <v>8.9499999999999993</v>
          </cell>
          <cell r="U46">
            <v>8.25</v>
          </cell>
          <cell r="V46">
            <v>11.6</v>
          </cell>
          <cell r="W46">
            <v>26.400000000000002</v>
          </cell>
          <cell r="X46">
            <v>76.75</v>
          </cell>
          <cell r="Y46">
            <v>115.19999999999999</v>
          </cell>
          <cell r="Z46">
            <v>191.95</v>
          </cell>
          <cell r="AA46">
            <v>113.25</v>
          </cell>
          <cell r="AB46">
            <v>22.450000000000003</v>
          </cell>
          <cell r="AC46">
            <v>65.25</v>
          </cell>
          <cell r="AD46">
            <v>97.899999999999991</v>
          </cell>
          <cell r="AE46">
            <v>163.15</v>
          </cell>
          <cell r="AF46">
            <v>96.25</v>
          </cell>
          <cell r="AG46">
            <v>202.7</v>
          </cell>
          <cell r="AH46">
            <v>173.79999999999998</v>
          </cell>
          <cell r="AI46">
            <v>165.3</v>
          </cell>
          <cell r="AJ46">
            <v>149.44999999999999</v>
          </cell>
          <cell r="AK46">
            <v>131.64999999999998</v>
          </cell>
          <cell r="AL46">
            <v>8.9499999999999993</v>
          </cell>
          <cell r="AM46">
            <v>76.75</v>
          </cell>
          <cell r="AN46">
            <v>115.19999999999999</v>
          </cell>
          <cell r="AO46">
            <v>191.95</v>
          </cell>
          <cell r="AP46">
            <v>8.9499999999999993</v>
          </cell>
          <cell r="AQ46">
            <v>8.9499999999999993</v>
          </cell>
          <cell r="AR46">
            <v>8.9499999999999993</v>
          </cell>
          <cell r="AS46">
            <v>8.9499999999999993</v>
          </cell>
          <cell r="AT46">
            <v>8.9499999999999993</v>
          </cell>
          <cell r="AU46">
            <v>8.9499999999999993</v>
          </cell>
          <cell r="AV46">
            <v>191.95</v>
          </cell>
          <cell r="AW46">
            <v>0.19600000000000001</v>
          </cell>
          <cell r="AX46">
            <v>0.19600000000000001</v>
          </cell>
          <cell r="AY46">
            <v>0.19600000000000001</v>
          </cell>
          <cell r="AZ46">
            <v>0.19600000000000001</v>
          </cell>
          <cell r="BA46">
            <v>0.19600000000000001</v>
          </cell>
          <cell r="BB46">
            <v>19.863750562144144</v>
          </cell>
          <cell r="BC46">
            <v>17.480100494686845</v>
          </cell>
          <cell r="BD46">
            <v>1.4158409953928535</v>
          </cell>
          <cell r="BE46">
            <v>2.4</v>
          </cell>
          <cell r="BF46">
            <v>3.8</v>
          </cell>
          <cell r="BG46">
            <v>2.8499999999999996</v>
          </cell>
          <cell r="BH46">
            <v>4.6999999999999993</v>
          </cell>
          <cell r="BI46">
            <v>4.25</v>
          </cell>
          <cell r="BJ46">
            <v>172.75</v>
          </cell>
          <cell r="BK46">
            <v>143.9</v>
          </cell>
          <cell r="BL46">
            <v>115.19999999999999</v>
          </cell>
          <cell r="BM46">
            <v>9.2000000000000011</v>
          </cell>
          <cell r="BN46">
            <v>0.28316819907857066</v>
          </cell>
          <cell r="BO46">
            <v>114.85</v>
          </cell>
          <cell r="BP46">
            <v>151.6</v>
          </cell>
          <cell r="BQ46">
            <v>160.79999999999998</v>
          </cell>
          <cell r="BR46">
            <v>166.55</v>
          </cell>
          <cell r="BS46">
            <v>167.7</v>
          </cell>
          <cell r="BT46">
            <v>160.79999999999998</v>
          </cell>
          <cell r="BU46">
            <v>158.5</v>
          </cell>
          <cell r="BV46">
            <v>160.79999999999998</v>
          </cell>
          <cell r="BW46">
            <v>174.60000000000002</v>
          </cell>
          <cell r="BX46">
            <v>170</v>
          </cell>
          <cell r="BY46">
            <v>153.9</v>
          </cell>
          <cell r="BZ46">
            <v>175.5</v>
          </cell>
          <cell r="CA46">
            <v>168.85000000000002</v>
          </cell>
          <cell r="CB46">
            <v>157.35</v>
          </cell>
          <cell r="CC46">
            <v>171.14999999999998</v>
          </cell>
          <cell r="CD46">
            <v>167.7</v>
          </cell>
          <cell r="CE46">
            <v>8.9499999999999993</v>
          </cell>
          <cell r="CF46">
            <v>8.9499999999999993</v>
          </cell>
          <cell r="CG46">
            <v>9.2000000000000011</v>
          </cell>
          <cell r="CH46">
            <v>9.2000000000000011</v>
          </cell>
          <cell r="CI46">
            <v>8.85</v>
          </cell>
          <cell r="CJ46">
            <v>14</v>
          </cell>
          <cell r="CK46">
            <v>13.3</v>
          </cell>
          <cell r="CL46">
            <v>7.1</v>
          </cell>
          <cell r="CM46">
            <v>22.05</v>
          </cell>
          <cell r="CN46">
            <v>9.0500000000000007</v>
          </cell>
          <cell r="CO46">
            <v>3.4499999999999997</v>
          </cell>
          <cell r="CP46">
            <v>505.4</v>
          </cell>
        </row>
        <row r="47">
          <cell r="A47">
            <v>44</v>
          </cell>
          <cell r="B47">
            <v>2060</v>
          </cell>
          <cell r="C47">
            <v>0.85</v>
          </cell>
          <cell r="D47">
            <v>1.05</v>
          </cell>
          <cell r="E47">
            <v>1.25</v>
          </cell>
          <cell r="F47">
            <v>0.02</v>
          </cell>
          <cell r="G47">
            <v>175.75</v>
          </cell>
          <cell r="H47">
            <v>206.75</v>
          </cell>
          <cell r="I47">
            <v>9.6</v>
          </cell>
          <cell r="J47">
            <v>11.25</v>
          </cell>
          <cell r="K47">
            <v>195.75</v>
          </cell>
          <cell r="L47">
            <v>186.4</v>
          </cell>
          <cell r="M47">
            <v>164.14999999999998</v>
          </cell>
          <cell r="N47">
            <v>158.30000000000001</v>
          </cell>
          <cell r="O47">
            <v>148.9</v>
          </cell>
          <cell r="P47">
            <v>192.25</v>
          </cell>
          <cell r="Q47">
            <v>209.85</v>
          </cell>
          <cell r="R47">
            <v>162.95000000000002</v>
          </cell>
          <cell r="S47">
            <v>9.6</v>
          </cell>
          <cell r="T47">
            <v>9.15</v>
          </cell>
          <cell r="U47">
            <v>8.4499999999999993</v>
          </cell>
          <cell r="V47">
            <v>11.850000000000001</v>
          </cell>
          <cell r="W47">
            <v>26.95</v>
          </cell>
          <cell r="X47">
            <v>78.25</v>
          </cell>
          <cell r="Y47">
            <v>117.5</v>
          </cell>
          <cell r="Z47">
            <v>195.75</v>
          </cell>
          <cell r="AA47">
            <v>115.5</v>
          </cell>
          <cell r="AB47">
            <v>22.9</v>
          </cell>
          <cell r="AC47">
            <v>66.5</v>
          </cell>
          <cell r="AD47">
            <v>99.9</v>
          </cell>
          <cell r="AE47">
            <v>166.4</v>
          </cell>
          <cell r="AF47">
            <v>98.2</v>
          </cell>
          <cell r="AG47">
            <v>206.75</v>
          </cell>
          <cell r="AH47">
            <v>177.25</v>
          </cell>
          <cell r="AI47">
            <v>168.6</v>
          </cell>
          <cell r="AJ47">
            <v>152.4</v>
          </cell>
          <cell r="AK47">
            <v>134.25</v>
          </cell>
          <cell r="AL47">
            <v>9.15</v>
          </cell>
          <cell r="AM47">
            <v>78.25</v>
          </cell>
          <cell r="AN47">
            <v>117.5</v>
          </cell>
          <cell r="AO47">
            <v>195.75</v>
          </cell>
          <cell r="AP47">
            <v>9.15</v>
          </cell>
          <cell r="AQ47">
            <v>9.15</v>
          </cell>
          <cell r="AR47">
            <v>9.15</v>
          </cell>
          <cell r="AS47">
            <v>9.15</v>
          </cell>
          <cell r="AT47">
            <v>9.15</v>
          </cell>
          <cell r="AU47">
            <v>9.15</v>
          </cell>
          <cell r="AV47">
            <v>195.75</v>
          </cell>
          <cell r="AW47">
            <v>0.19600000000000001</v>
          </cell>
          <cell r="AX47">
            <v>0.19600000000000001</v>
          </cell>
          <cell r="AY47">
            <v>0.19600000000000001</v>
          </cell>
          <cell r="AZ47">
            <v>0.19600000000000001</v>
          </cell>
          <cell r="BA47">
            <v>0.19600000000000001</v>
          </cell>
          <cell r="BB47">
            <v>19.863750562144144</v>
          </cell>
          <cell r="BC47">
            <v>17.480100494686845</v>
          </cell>
          <cell r="BD47">
            <v>1.4158409953928535</v>
          </cell>
          <cell r="BE47">
            <v>2.4500000000000002</v>
          </cell>
          <cell r="BF47">
            <v>3.85</v>
          </cell>
          <cell r="BG47">
            <v>2.9499999999999997</v>
          </cell>
          <cell r="BH47">
            <v>4.8</v>
          </cell>
          <cell r="BI47">
            <v>4.3499999999999996</v>
          </cell>
          <cell r="BJ47">
            <v>176.20000000000002</v>
          </cell>
          <cell r="BK47">
            <v>146.80000000000001</v>
          </cell>
          <cell r="BL47">
            <v>117.5</v>
          </cell>
          <cell r="BM47">
            <v>9.3500000000000014</v>
          </cell>
          <cell r="BN47">
            <v>0.28316819907857066</v>
          </cell>
          <cell r="BO47">
            <v>117.15</v>
          </cell>
          <cell r="BP47">
            <v>154.65</v>
          </cell>
          <cell r="BQ47">
            <v>164</v>
          </cell>
          <cell r="BR47">
            <v>169.89999999999998</v>
          </cell>
          <cell r="BS47">
            <v>171.05</v>
          </cell>
          <cell r="BT47">
            <v>164</v>
          </cell>
          <cell r="BU47">
            <v>161.70000000000002</v>
          </cell>
          <cell r="BV47">
            <v>164</v>
          </cell>
          <cell r="BW47">
            <v>178.1</v>
          </cell>
          <cell r="BX47">
            <v>173.4</v>
          </cell>
          <cell r="BY47">
            <v>157</v>
          </cell>
          <cell r="BZ47">
            <v>179</v>
          </cell>
          <cell r="CA47">
            <v>172.2</v>
          </cell>
          <cell r="CB47">
            <v>160.5</v>
          </cell>
          <cell r="CC47">
            <v>174.54999999999998</v>
          </cell>
          <cell r="CD47">
            <v>171.05</v>
          </cell>
          <cell r="CE47">
            <v>9.15</v>
          </cell>
          <cell r="CF47">
            <v>9.15</v>
          </cell>
          <cell r="CG47">
            <v>9.3500000000000014</v>
          </cell>
          <cell r="CH47">
            <v>9.3500000000000014</v>
          </cell>
          <cell r="CI47">
            <v>9</v>
          </cell>
          <cell r="CJ47">
            <v>14.299999999999999</v>
          </cell>
          <cell r="CK47">
            <v>13.600000000000001</v>
          </cell>
          <cell r="CL47">
            <v>7.25</v>
          </cell>
          <cell r="CM47">
            <v>22.5</v>
          </cell>
          <cell r="CN47">
            <v>9.25</v>
          </cell>
          <cell r="CO47">
            <v>3.5</v>
          </cell>
          <cell r="CP47">
            <v>515.5</v>
          </cell>
        </row>
        <row r="48">
          <cell r="A48">
            <v>45</v>
          </cell>
          <cell r="B48">
            <v>2061</v>
          </cell>
          <cell r="C48">
            <v>0.85</v>
          </cell>
          <cell r="D48">
            <v>1.05</v>
          </cell>
          <cell r="E48">
            <v>1.25</v>
          </cell>
          <cell r="F48">
            <v>0.02</v>
          </cell>
          <cell r="G48">
            <v>179.25</v>
          </cell>
          <cell r="H48">
            <v>210.9</v>
          </cell>
          <cell r="I48">
            <v>9.8000000000000007</v>
          </cell>
          <cell r="J48">
            <v>11.45</v>
          </cell>
          <cell r="K48">
            <v>199.7</v>
          </cell>
          <cell r="L48">
            <v>190.15</v>
          </cell>
          <cell r="M48">
            <v>167.39999999999998</v>
          </cell>
          <cell r="N48">
            <v>161.44999999999999</v>
          </cell>
          <cell r="O48">
            <v>151.9</v>
          </cell>
          <cell r="P48">
            <v>196.1</v>
          </cell>
          <cell r="Q48">
            <v>214.05</v>
          </cell>
          <cell r="R48">
            <v>166.25</v>
          </cell>
          <cell r="S48">
            <v>9.8000000000000007</v>
          </cell>
          <cell r="T48">
            <v>9.3000000000000007</v>
          </cell>
          <cell r="U48">
            <v>8.6</v>
          </cell>
          <cell r="V48">
            <v>12.05</v>
          </cell>
          <cell r="W48">
            <v>27.5</v>
          </cell>
          <cell r="X48">
            <v>79.850000000000009</v>
          </cell>
          <cell r="Y48">
            <v>119.85</v>
          </cell>
          <cell r="Z48">
            <v>199.7</v>
          </cell>
          <cell r="AA48">
            <v>117.85</v>
          </cell>
          <cell r="AB48">
            <v>23.4</v>
          </cell>
          <cell r="AC48">
            <v>67.849999999999994</v>
          </cell>
          <cell r="AD48">
            <v>101.85000000000001</v>
          </cell>
          <cell r="AE48">
            <v>169.75</v>
          </cell>
          <cell r="AF48">
            <v>100.15</v>
          </cell>
          <cell r="AG48">
            <v>210.9</v>
          </cell>
          <cell r="AH48">
            <v>180.79999999999998</v>
          </cell>
          <cell r="AI48">
            <v>171.95</v>
          </cell>
          <cell r="AJ48">
            <v>155.44999999999999</v>
          </cell>
          <cell r="AK48">
            <v>136.94999999999999</v>
          </cell>
          <cell r="AL48">
            <v>9.3000000000000007</v>
          </cell>
          <cell r="AM48">
            <v>79.850000000000009</v>
          </cell>
          <cell r="AN48">
            <v>119.85</v>
          </cell>
          <cell r="AO48">
            <v>199.7</v>
          </cell>
          <cell r="AP48">
            <v>9.3000000000000007</v>
          </cell>
          <cell r="AQ48">
            <v>9.3000000000000007</v>
          </cell>
          <cell r="AR48">
            <v>9.3000000000000007</v>
          </cell>
          <cell r="AS48">
            <v>9.3000000000000007</v>
          </cell>
          <cell r="AT48">
            <v>9.3000000000000007</v>
          </cell>
          <cell r="AU48">
            <v>9.3000000000000007</v>
          </cell>
          <cell r="AV48">
            <v>199.7</v>
          </cell>
          <cell r="AW48">
            <v>0.19600000000000001</v>
          </cell>
          <cell r="AX48">
            <v>0.19600000000000001</v>
          </cell>
          <cell r="AY48">
            <v>0.19600000000000001</v>
          </cell>
          <cell r="AZ48">
            <v>0.19600000000000001</v>
          </cell>
          <cell r="BA48">
            <v>0.19600000000000001</v>
          </cell>
          <cell r="BB48">
            <v>19.863750562144144</v>
          </cell>
          <cell r="BC48">
            <v>17.480100494686845</v>
          </cell>
          <cell r="BD48">
            <v>1.4158409953928535</v>
          </cell>
          <cell r="BE48">
            <v>2.5</v>
          </cell>
          <cell r="BF48">
            <v>3.95</v>
          </cell>
          <cell r="BG48">
            <v>3</v>
          </cell>
          <cell r="BH48">
            <v>4.9000000000000004</v>
          </cell>
          <cell r="BI48">
            <v>4.4000000000000004</v>
          </cell>
          <cell r="BJ48">
            <v>179.75</v>
          </cell>
          <cell r="BK48">
            <v>149.75</v>
          </cell>
          <cell r="BL48">
            <v>119.85</v>
          </cell>
          <cell r="BM48">
            <v>9.5499999999999989</v>
          </cell>
          <cell r="BN48">
            <v>0.28316819907857066</v>
          </cell>
          <cell r="BO48">
            <v>119.5</v>
          </cell>
          <cell r="BP48">
            <v>157.75</v>
          </cell>
          <cell r="BQ48">
            <v>167.3</v>
          </cell>
          <cell r="BR48">
            <v>173.29999999999998</v>
          </cell>
          <cell r="BS48">
            <v>174.45</v>
          </cell>
          <cell r="BT48">
            <v>167.3</v>
          </cell>
          <cell r="BU48">
            <v>164.89999999999998</v>
          </cell>
          <cell r="BV48">
            <v>167.3</v>
          </cell>
          <cell r="BW48">
            <v>181.64999999999998</v>
          </cell>
          <cell r="BX48">
            <v>176.85</v>
          </cell>
          <cell r="BY48">
            <v>160.15</v>
          </cell>
          <cell r="BZ48">
            <v>182.60000000000002</v>
          </cell>
          <cell r="CA48">
            <v>175.65</v>
          </cell>
          <cell r="CB48">
            <v>163.70000000000002</v>
          </cell>
          <cell r="CC48">
            <v>178.05</v>
          </cell>
          <cell r="CD48">
            <v>174.45</v>
          </cell>
          <cell r="CE48">
            <v>9.3000000000000007</v>
          </cell>
          <cell r="CF48">
            <v>9.3000000000000007</v>
          </cell>
          <cell r="CG48">
            <v>9.5499999999999989</v>
          </cell>
          <cell r="CH48">
            <v>9.5499999999999989</v>
          </cell>
          <cell r="CI48">
            <v>9.2000000000000011</v>
          </cell>
          <cell r="CJ48">
            <v>14.6</v>
          </cell>
          <cell r="CK48">
            <v>13.85</v>
          </cell>
          <cell r="CL48">
            <v>7.4</v>
          </cell>
          <cell r="CM48">
            <v>22.95</v>
          </cell>
          <cell r="CN48">
            <v>9.4499999999999993</v>
          </cell>
          <cell r="CO48">
            <v>3.5999999999999996</v>
          </cell>
          <cell r="CP48">
            <v>525.79999999999995</v>
          </cell>
        </row>
        <row r="49">
          <cell r="A49">
            <v>46</v>
          </cell>
          <cell r="B49">
            <v>2062</v>
          </cell>
          <cell r="C49">
            <v>0.85</v>
          </cell>
          <cell r="D49">
            <v>1.05</v>
          </cell>
          <cell r="E49">
            <v>1.25</v>
          </cell>
          <cell r="F49">
            <v>0.02</v>
          </cell>
          <cell r="G49">
            <v>182.85</v>
          </cell>
          <cell r="H49">
            <v>215.10000000000002</v>
          </cell>
          <cell r="I49">
            <v>10</v>
          </cell>
          <cell r="J49">
            <v>11.7</v>
          </cell>
          <cell r="K49">
            <v>203.70000000000002</v>
          </cell>
          <cell r="L49">
            <v>193.95</v>
          </cell>
          <cell r="M49">
            <v>170.75</v>
          </cell>
          <cell r="N49">
            <v>164.7</v>
          </cell>
          <cell r="O49">
            <v>154.94999999999999</v>
          </cell>
          <cell r="P49">
            <v>200.04999999999998</v>
          </cell>
          <cell r="Q49">
            <v>218.29999999999998</v>
          </cell>
          <cell r="R49">
            <v>169.54999999999998</v>
          </cell>
          <cell r="S49">
            <v>10</v>
          </cell>
          <cell r="T49">
            <v>9.5</v>
          </cell>
          <cell r="U49">
            <v>8.8000000000000007</v>
          </cell>
          <cell r="V49">
            <v>12.3</v>
          </cell>
          <cell r="W49">
            <v>28.05</v>
          </cell>
          <cell r="X49">
            <v>81.400000000000006</v>
          </cell>
          <cell r="Y49">
            <v>122.25</v>
          </cell>
          <cell r="Z49">
            <v>203.70000000000002</v>
          </cell>
          <cell r="AA49">
            <v>120.19999999999999</v>
          </cell>
          <cell r="AB49">
            <v>23.849999999999998</v>
          </cell>
          <cell r="AC49">
            <v>69.2</v>
          </cell>
          <cell r="AD49">
            <v>103.9</v>
          </cell>
          <cell r="AE49">
            <v>173.15</v>
          </cell>
          <cell r="AF49">
            <v>102.15</v>
          </cell>
          <cell r="AG49">
            <v>215.10000000000002</v>
          </cell>
          <cell r="AH49">
            <v>184.4</v>
          </cell>
          <cell r="AI49">
            <v>175.39999999999998</v>
          </cell>
          <cell r="AJ49">
            <v>158.6</v>
          </cell>
          <cell r="AK49">
            <v>139.70000000000002</v>
          </cell>
          <cell r="AL49">
            <v>9.5</v>
          </cell>
          <cell r="AM49">
            <v>81.400000000000006</v>
          </cell>
          <cell r="AN49">
            <v>122.25</v>
          </cell>
          <cell r="AO49">
            <v>203.70000000000002</v>
          </cell>
          <cell r="AP49">
            <v>9.5</v>
          </cell>
          <cell r="AQ49">
            <v>9.5</v>
          </cell>
          <cell r="AR49">
            <v>9.5</v>
          </cell>
          <cell r="AS49">
            <v>9.5</v>
          </cell>
          <cell r="AT49">
            <v>9.5</v>
          </cell>
          <cell r="AU49">
            <v>9.5</v>
          </cell>
          <cell r="AV49">
            <v>203.70000000000002</v>
          </cell>
          <cell r="AW49">
            <v>0.19600000000000001</v>
          </cell>
          <cell r="AX49">
            <v>0.19600000000000001</v>
          </cell>
          <cell r="AY49">
            <v>0.19600000000000001</v>
          </cell>
          <cell r="AZ49">
            <v>0.19600000000000001</v>
          </cell>
          <cell r="BA49">
            <v>0.19600000000000001</v>
          </cell>
          <cell r="BB49">
            <v>19.863750562144144</v>
          </cell>
          <cell r="BC49">
            <v>17.480100494686845</v>
          </cell>
          <cell r="BD49">
            <v>1.4158409953928535</v>
          </cell>
          <cell r="BE49">
            <v>2.5499999999999998</v>
          </cell>
          <cell r="BF49">
            <v>4</v>
          </cell>
          <cell r="BG49">
            <v>3.05</v>
          </cell>
          <cell r="BH49">
            <v>5</v>
          </cell>
          <cell r="BI49">
            <v>4.5</v>
          </cell>
          <cell r="BJ49">
            <v>183.35000000000002</v>
          </cell>
          <cell r="BK49">
            <v>152.75</v>
          </cell>
          <cell r="BL49">
            <v>122.25</v>
          </cell>
          <cell r="BM49">
            <v>9.75</v>
          </cell>
          <cell r="BN49">
            <v>0.28316819907857066</v>
          </cell>
          <cell r="BO49">
            <v>121.89999999999999</v>
          </cell>
          <cell r="BP49">
            <v>160.9</v>
          </cell>
          <cell r="BQ49">
            <v>170.65</v>
          </cell>
          <cell r="BR49">
            <v>176.75</v>
          </cell>
          <cell r="BS49">
            <v>177.95000000000002</v>
          </cell>
          <cell r="BT49">
            <v>170.65</v>
          </cell>
          <cell r="BU49">
            <v>168.2</v>
          </cell>
          <cell r="BV49">
            <v>170.65</v>
          </cell>
          <cell r="BW49">
            <v>185.3</v>
          </cell>
          <cell r="BX49">
            <v>180.39999999999998</v>
          </cell>
          <cell r="BY49">
            <v>163.35000000000002</v>
          </cell>
          <cell r="BZ49">
            <v>186.25</v>
          </cell>
          <cell r="CA49">
            <v>179.20000000000002</v>
          </cell>
          <cell r="CB49">
            <v>167</v>
          </cell>
          <cell r="CC49">
            <v>181.6</v>
          </cell>
          <cell r="CD49">
            <v>177.95000000000002</v>
          </cell>
          <cell r="CE49">
            <v>9.5</v>
          </cell>
          <cell r="CF49">
            <v>9.5</v>
          </cell>
          <cell r="CG49">
            <v>9.75</v>
          </cell>
          <cell r="CH49">
            <v>9.75</v>
          </cell>
          <cell r="CI49">
            <v>9.3999999999999986</v>
          </cell>
          <cell r="CJ49">
            <v>14.850000000000001</v>
          </cell>
          <cell r="CK49">
            <v>14.15</v>
          </cell>
          <cell r="CL49">
            <v>7.55</v>
          </cell>
          <cell r="CM49">
            <v>23.4</v>
          </cell>
          <cell r="CN49">
            <v>9.65</v>
          </cell>
          <cell r="CO49">
            <v>3.65</v>
          </cell>
          <cell r="CP49">
            <v>536.35</v>
          </cell>
        </row>
        <row r="50">
          <cell r="A50">
            <v>47</v>
          </cell>
          <cell r="B50">
            <v>2063</v>
          </cell>
          <cell r="C50">
            <v>0.85</v>
          </cell>
          <cell r="D50">
            <v>1.05</v>
          </cell>
          <cell r="E50">
            <v>1.25</v>
          </cell>
          <cell r="F50">
            <v>0.02</v>
          </cell>
          <cell r="G50">
            <v>186.5</v>
          </cell>
          <cell r="H50">
            <v>219.4</v>
          </cell>
          <cell r="I50">
            <v>10.199999999999999</v>
          </cell>
          <cell r="J50">
            <v>11.950000000000001</v>
          </cell>
          <cell r="K50">
            <v>207.75</v>
          </cell>
          <cell r="L50">
            <v>197.8</v>
          </cell>
          <cell r="M50">
            <v>174.20000000000002</v>
          </cell>
          <cell r="N50">
            <v>167.95000000000002</v>
          </cell>
          <cell r="O50">
            <v>158</v>
          </cell>
          <cell r="P50">
            <v>204.05</v>
          </cell>
          <cell r="Q50">
            <v>222.7</v>
          </cell>
          <cell r="R50">
            <v>172.95000000000002</v>
          </cell>
          <cell r="S50">
            <v>10.199999999999999</v>
          </cell>
          <cell r="T50">
            <v>9.6999999999999993</v>
          </cell>
          <cell r="U50">
            <v>8.9499999999999993</v>
          </cell>
          <cell r="V50">
            <v>12.549999999999999</v>
          </cell>
          <cell r="W50">
            <v>28.599999999999998</v>
          </cell>
          <cell r="X50">
            <v>83.05</v>
          </cell>
          <cell r="Y50">
            <v>124.7</v>
          </cell>
          <cell r="Z50">
            <v>207.75</v>
          </cell>
          <cell r="AA50">
            <v>122.6</v>
          </cell>
          <cell r="AB50">
            <v>24.3</v>
          </cell>
          <cell r="AC50">
            <v>70.599999999999994</v>
          </cell>
          <cell r="AD50">
            <v>106</v>
          </cell>
          <cell r="AE50">
            <v>176.6</v>
          </cell>
          <cell r="AF50">
            <v>104.2</v>
          </cell>
          <cell r="AG50">
            <v>219.4</v>
          </cell>
          <cell r="AH50">
            <v>188.1</v>
          </cell>
          <cell r="AI50">
            <v>178.9</v>
          </cell>
          <cell r="AJ50">
            <v>161.75</v>
          </cell>
          <cell r="AK50">
            <v>142.5</v>
          </cell>
          <cell r="AL50">
            <v>9.6999999999999993</v>
          </cell>
          <cell r="AM50">
            <v>83.05</v>
          </cell>
          <cell r="AN50">
            <v>124.7</v>
          </cell>
          <cell r="AO50">
            <v>207.75</v>
          </cell>
          <cell r="AP50">
            <v>9.6999999999999993</v>
          </cell>
          <cell r="AQ50">
            <v>9.6999999999999993</v>
          </cell>
          <cell r="AR50">
            <v>9.6999999999999993</v>
          </cell>
          <cell r="AS50">
            <v>9.6999999999999993</v>
          </cell>
          <cell r="AT50">
            <v>9.6999999999999993</v>
          </cell>
          <cell r="AU50">
            <v>9.6999999999999993</v>
          </cell>
          <cell r="AV50">
            <v>207.75</v>
          </cell>
          <cell r="AW50">
            <v>0.19600000000000001</v>
          </cell>
          <cell r="AX50">
            <v>0.19600000000000001</v>
          </cell>
          <cell r="AY50">
            <v>0.19600000000000001</v>
          </cell>
          <cell r="AZ50">
            <v>0.19600000000000001</v>
          </cell>
          <cell r="BA50">
            <v>0.19600000000000001</v>
          </cell>
          <cell r="BB50">
            <v>19.863750562144144</v>
          </cell>
          <cell r="BC50">
            <v>17.480100494686845</v>
          </cell>
          <cell r="BD50">
            <v>1.4158409953928535</v>
          </cell>
          <cell r="BE50">
            <v>2.6</v>
          </cell>
          <cell r="BF50">
            <v>4.0999999999999996</v>
          </cell>
          <cell r="BG50">
            <v>3.1</v>
          </cell>
          <cell r="BH50">
            <v>5.0999999999999996</v>
          </cell>
          <cell r="BI50">
            <v>4.6000000000000005</v>
          </cell>
          <cell r="BJ50">
            <v>187</v>
          </cell>
          <cell r="BK50">
            <v>155.80000000000001</v>
          </cell>
          <cell r="BL50">
            <v>124.7</v>
          </cell>
          <cell r="BM50">
            <v>9.9499999999999993</v>
          </cell>
          <cell r="BN50">
            <v>0.28316819907857066</v>
          </cell>
          <cell r="BO50">
            <v>124.35000000000001</v>
          </cell>
          <cell r="BP50">
            <v>164.1</v>
          </cell>
          <cell r="BQ50">
            <v>174.05</v>
          </cell>
          <cell r="BR50">
            <v>180.3</v>
          </cell>
          <cell r="BS50">
            <v>181.5</v>
          </cell>
          <cell r="BT50">
            <v>174.05</v>
          </cell>
          <cell r="BU50">
            <v>171.6</v>
          </cell>
          <cell r="BV50">
            <v>174.05</v>
          </cell>
          <cell r="BW50">
            <v>189</v>
          </cell>
          <cell r="BX50">
            <v>184</v>
          </cell>
          <cell r="BY50">
            <v>166.6</v>
          </cell>
          <cell r="BZ50">
            <v>190</v>
          </cell>
          <cell r="CA50">
            <v>182.75</v>
          </cell>
          <cell r="CB50">
            <v>170.35</v>
          </cell>
          <cell r="CC50">
            <v>185.25</v>
          </cell>
          <cell r="CD50">
            <v>181.5</v>
          </cell>
          <cell r="CE50">
            <v>9.6999999999999993</v>
          </cell>
          <cell r="CF50">
            <v>9.6999999999999993</v>
          </cell>
          <cell r="CG50">
            <v>9.9499999999999993</v>
          </cell>
          <cell r="CH50">
            <v>9.9499999999999993</v>
          </cell>
          <cell r="CI50">
            <v>9.5499999999999989</v>
          </cell>
          <cell r="CJ50">
            <v>15.149999999999999</v>
          </cell>
          <cell r="CK50">
            <v>14.399999999999999</v>
          </cell>
          <cell r="CL50">
            <v>7.7</v>
          </cell>
          <cell r="CM50">
            <v>23.849999999999998</v>
          </cell>
          <cell r="CN50">
            <v>9.8000000000000007</v>
          </cell>
          <cell r="CO50">
            <v>3.75</v>
          </cell>
          <cell r="CP50">
            <v>547.04999999999995</v>
          </cell>
        </row>
        <row r="51">
          <cell r="A51">
            <v>48</v>
          </cell>
          <cell r="B51">
            <v>2064</v>
          </cell>
          <cell r="C51">
            <v>0.85</v>
          </cell>
          <cell r="D51">
            <v>1.05</v>
          </cell>
          <cell r="E51">
            <v>1.25</v>
          </cell>
          <cell r="F51">
            <v>0.02</v>
          </cell>
          <cell r="G51">
            <v>190.25</v>
          </cell>
          <cell r="H51">
            <v>223.79999999999998</v>
          </cell>
          <cell r="I51">
            <v>10.4</v>
          </cell>
          <cell r="J51">
            <v>12.15</v>
          </cell>
          <cell r="K51">
            <v>211.9</v>
          </cell>
          <cell r="L51">
            <v>201.75</v>
          </cell>
          <cell r="M51">
            <v>177.65</v>
          </cell>
          <cell r="N51">
            <v>171.35000000000002</v>
          </cell>
          <cell r="O51">
            <v>161.20000000000002</v>
          </cell>
          <cell r="P51">
            <v>208.1</v>
          </cell>
          <cell r="Q51">
            <v>227.15</v>
          </cell>
          <cell r="R51">
            <v>176.4</v>
          </cell>
          <cell r="S51">
            <v>10.4</v>
          </cell>
          <cell r="T51">
            <v>9.9</v>
          </cell>
          <cell r="U51">
            <v>9.15</v>
          </cell>
          <cell r="V51">
            <v>12.8</v>
          </cell>
          <cell r="W51">
            <v>29.15</v>
          </cell>
          <cell r="X51">
            <v>84.7</v>
          </cell>
          <cell r="Y51">
            <v>127.2</v>
          </cell>
          <cell r="Z51">
            <v>211.9</v>
          </cell>
          <cell r="AA51">
            <v>125.05000000000001</v>
          </cell>
          <cell r="AB51">
            <v>24.8</v>
          </cell>
          <cell r="AC51">
            <v>72</v>
          </cell>
          <cell r="AD51">
            <v>108.10000000000001</v>
          </cell>
          <cell r="AE51">
            <v>180.10000000000002</v>
          </cell>
          <cell r="AF51">
            <v>106.30000000000001</v>
          </cell>
          <cell r="AG51">
            <v>223.79999999999998</v>
          </cell>
          <cell r="AH51">
            <v>191.85</v>
          </cell>
          <cell r="AI51">
            <v>182.5</v>
          </cell>
          <cell r="AJ51">
            <v>165</v>
          </cell>
          <cell r="AK51">
            <v>145.35</v>
          </cell>
          <cell r="AL51">
            <v>9.9</v>
          </cell>
          <cell r="AM51">
            <v>84.7</v>
          </cell>
          <cell r="AN51">
            <v>127.2</v>
          </cell>
          <cell r="AO51">
            <v>211.9</v>
          </cell>
          <cell r="AP51">
            <v>9.9</v>
          </cell>
          <cell r="AQ51">
            <v>9.9</v>
          </cell>
          <cell r="AR51">
            <v>9.9</v>
          </cell>
          <cell r="AS51">
            <v>9.9</v>
          </cell>
          <cell r="AT51">
            <v>9.9</v>
          </cell>
          <cell r="AU51">
            <v>9.9</v>
          </cell>
          <cell r="AV51">
            <v>211.9</v>
          </cell>
          <cell r="AW51">
            <v>0.19600000000000001</v>
          </cell>
          <cell r="AX51">
            <v>0.19600000000000001</v>
          </cell>
          <cell r="AY51">
            <v>0.19600000000000001</v>
          </cell>
          <cell r="AZ51">
            <v>0.19600000000000001</v>
          </cell>
          <cell r="BA51">
            <v>0.19600000000000001</v>
          </cell>
          <cell r="BB51">
            <v>19.863750562144144</v>
          </cell>
          <cell r="BC51">
            <v>17.480100494686845</v>
          </cell>
          <cell r="BD51">
            <v>1.4158409953928535</v>
          </cell>
          <cell r="BE51">
            <v>2.6500000000000004</v>
          </cell>
          <cell r="BF51">
            <v>4.2</v>
          </cell>
          <cell r="BG51">
            <v>3.15</v>
          </cell>
          <cell r="BH51">
            <v>5.2</v>
          </cell>
          <cell r="BI51">
            <v>4.6999999999999993</v>
          </cell>
          <cell r="BJ51">
            <v>190.75</v>
          </cell>
          <cell r="BK51">
            <v>158.9</v>
          </cell>
          <cell r="BL51">
            <v>127.2</v>
          </cell>
          <cell r="BM51">
            <v>10.149999999999999</v>
          </cell>
          <cell r="BN51">
            <v>0.28316819907857066</v>
          </cell>
          <cell r="BO51">
            <v>126.8</v>
          </cell>
          <cell r="BP51">
            <v>167.39999999999998</v>
          </cell>
          <cell r="BQ51">
            <v>177.54999999999998</v>
          </cell>
          <cell r="BR51">
            <v>183.9</v>
          </cell>
          <cell r="BS51">
            <v>185.15</v>
          </cell>
          <cell r="BT51">
            <v>177.54999999999998</v>
          </cell>
          <cell r="BU51">
            <v>175</v>
          </cell>
          <cell r="BV51">
            <v>177.54999999999998</v>
          </cell>
          <cell r="BW51">
            <v>192.75</v>
          </cell>
          <cell r="BX51">
            <v>187.7</v>
          </cell>
          <cell r="BY51">
            <v>169.95000000000002</v>
          </cell>
          <cell r="BZ51">
            <v>193.79999999999998</v>
          </cell>
          <cell r="CA51">
            <v>186.4</v>
          </cell>
          <cell r="CB51">
            <v>173.75</v>
          </cell>
          <cell r="CC51">
            <v>188.95</v>
          </cell>
          <cell r="CD51">
            <v>185.15</v>
          </cell>
          <cell r="CE51">
            <v>9.9</v>
          </cell>
          <cell r="CF51">
            <v>9.9</v>
          </cell>
          <cell r="CG51">
            <v>10.149999999999999</v>
          </cell>
          <cell r="CH51">
            <v>10.149999999999999</v>
          </cell>
          <cell r="CI51">
            <v>9.75</v>
          </cell>
          <cell r="CJ51">
            <v>15.45</v>
          </cell>
          <cell r="CK51">
            <v>14.7</v>
          </cell>
          <cell r="CL51">
            <v>7.8500000000000005</v>
          </cell>
          <cell r="CM51">
            <v>24.35</v>
          </cell>
          <cell r="CN51">
            <v>10</v>
          </cell>
          <cell r="CO51">
            <v>3.8</v>
          </cell>
          <cell r="CP51">
            <v>558</v>
          </cell>
        </row>
        <row r="52">
          <cell r="A52">
            <v>49</v>
          </cell>
          <cell r="B52">
            <v>2065</v>
          </cell>
          <cell r="C52">
            <v>0.85</v>
          </cell>
          <cell r="D52">
            <v>1.05</v>
          </cell>
          <cell r="E52">
            <v>1.25</v>
          </cell>
          <cell r="F52">
            <v>0.02</v>
          </cell>
          <cell r="G52">
            <v>194.05</v>
          </cell>
          <cell r="H52">
            <v>228.25</v>
          </cell>
          <cell r="I52">
            <v>10.600000000000001</v>
          </cell>
          <cell r="J52">
            <v>12.4</v>
          </cell>
          <cell r="K52">
            <v>216.14999999999998</v>
          </cell>
          <cell r="L52">
            <v>205.79999999999998</v>
          </cell>
          <cell r="M52">
            <v>181.20000000000002</v>
          </cell>
          <cell r="N52">
            <v>174.75</v>
          </cell>
          <cell r="O52">
            <v>164.4</v>
          </cell>
          <cell r="P52">
            <v>212.25</v>
          </cell>
          <cell r="Q52">
            <v>231.64999999999998</v>
          </cell>
          <cell r="R52">
            <v>179.95000000000002</v>
          </cell>
          <cell r="S52">
            <v>10.600000000000001</v>
          </cell>
          <cell r="T52">
            <v>10.1</v>
          </cell>
          <cell r="U52">
            <v>9.3000000000000007</v>
          </cell>
          <cell r="V52">
            <v>13.049999999999999</v>
          </cell>
          <cell r="W52">
            <v>29.75</v>
          </cell>
          <cell r="X52">
            <v>86.4</v>
          </cell>
          <cell r="Y52">
            <v>129.75</v>
          </cell>
          <cell r="Z52">
            <v>216.14999999999998</v>
          </cell>
          <cell r="AA52">
            <v>127.55000000000001</v>
          </cell>
          <cell r="AB52">
            <v>25.299999999999997</v>
          </cell>
          <cell r="AC52">
            <v>73.45</v>
          </cell>
          <cell r="AD52">
            <v>110.3</v>
          </cell>
          <cell r="AE52">
            <v>183.75</v>
          </cell>
          <cell r="AF52">
            <v>108.4</v>
          </cell>
          <cell r="AG52">
            <v>228.25</v>
          </cell>
          <cell r="AH52">
            <v>195.7</v>
          </cell>
          <cell r="AI52">
            <v>186.14999999999998</v>
          </cell>
          <cell r="AJ52">
            <v>168.29999999999998</v>
          </cell>
          <cell r="AK52">
            <v>148.25</v>
          </cell>
          <cell r="AL52">
            <v>10.1</v>
          </cell>
          <cell r="AM52">
            <v>86.4</v>
          </cell>
          <cell r="AN52">
            <v>129.75</v>
          </cell>
          <cell r="AO52">
            <v>216.14999999999998</v>
          </cell>
          <cell r="AP52">
            <v>10.1</v>
          </cell>
          <cell r="AQ52">
            <v>10.1</v>
          </cell>
          <cell r="AR52">
            <v>10.1</v>
          </cell>
          <cell r="AS52">
            <v>10.1</v>
          </cell>
          <cell r="AT52">
            <v>10.1</v>
          </cell>
          <cell r="AU52">
            <v>10.1</v>
          </cell>
          <cell r="AV52">
            <v>216.14999999999998</v>
          </cell>
          <cell r="AW52">
            <v>0.19600000000000001</v>
          </cell>
          <cell r="AX52">
            <v>0.19600000000000001</v>
          </cell>
          <cell r="AY52">
            <v>0.19600000000000001</v>
          </cell>
          <cell r="AZ52">
            <v>0.19600000000000001</v>
          </cell>
          <cell r="BA52">
            <v>0.19600000000000001</v>
          </cell>
          <cell r="BB52">
            <v>19.863750562144144</v>
          </cell>
          <cell r="BC52">
            <v>17.480100494686845</v>
          </cell>
          <cell r="BD52">
            <v>1.4158409953928535</v>
          </cell>
          <cell r="BE52">
            <v>2.7</v>
          </cell>
          <cell r="BF52">
            <v>4.25</v>
          </cell>
          <cell r="BG52">
            <v>3.25</v>
          </cell>
          <cell r="BH52">
            <v>5.3000000000000007</v>
          </cell>
          <cell r="BI52">
            <v>4.8</v>
          </cell>
          <cell r="BJ52">
            <v>194.54999999999998</v>
          </cell>
          <cell r="BK52">
            <v>162.10000000000002</v>
          </cell>
          <cell r="BL52">
            <v>129.75</v>
          </cell>
          <cell r="BM52">
            <v>10.35</v>
          </cell>
          <cell r="BN52">
            <v>0.28316819907857066</v>
          </cell>
          <cell r="BO52">
            <v>129.35</v>
          </cell>
          <cell r="BP52">
            <v>170.75</v>
          </cell>
          <cell r="BQ52">
            <v>181.1</v>
          </cell>
          <cell r="BR52">
            <v>187.54999999999998</v>
          </cell>
          <cell r="BS52">
            <v>188.85000000000002</v>
          </cell>
          <cell r="BT52">
            <v>181.1</v>
          </cell>
          <cell r="BU52">
            <v>178.5</v>
          </cell>
          <cell r="BV52">
            <v>181.1</v>
          </cell>
          <cell r="BW52">
            <v>196.6</v>
          </cell>
          <cell r="BX52">
            <v>191.45</v>
          </cell>
          <cell r="BY52">
            <v>173.35000000000002</v>
          </cell>
          <cell r="BZ52">
            <v>197.65</v>
          </cell>
          <cell r="CA52">
            <v>190.15</v>
          </cell>
          <cell r="CB52">
            <v>177.2</v>
          </cell>
          <cell r="CC52">
            <v>192.75</v>
          </cell>
          <cell r="CD52">
            <v>188.85000000000002</v>
          </cell>
          <cell r="CE52">
            <v>10.1</v>
          </cell>
          <cell r="CF52">
            <v>10.1</v>
          </cell>
          <cell r="CG52">
            <v>10.35</v>
          </cell>
          <cell r="CH52">
            <v>10.35</v>
          </cell>
          <cell r="CI52">
            <v>9.9499999999999993</v>
          </cell>
          <cell r="CJ52">
            <v>15.8</v>
          </cell>
          <cell r="CK52">
            <v>15</v>
          </cell>
          <cell r="CL52">
            <v>8</v>
          </cell>
          <cell r="CM52">
            <v>24.849999999999998</v>
          </cell>
          <cell r="CN52">
            <v>10.199999999999999</v>
          </cell>
          <cell r="CO52">
            <v>3.9000000000000004</v>
          </cell>
          <cell r="CP52">
            <v>569.15</v>
          </cell>
        </row>
        <row r="53">
          <cell r="A53">
            <v>50</v>
          </cell>
          <cell r="B53">
            <v>2066</v>
          </cell>
          <cell r="C53">
            <v>0.85</v>
          </cell>
          <cell r="D53">
            <v>1.05</v>
          </cell>
          <cell r="E53">
            <v>1.25</v>
          </cell>
          <cell r="F53">
            <v>0.02</v>
          </cell>
          <cell r="G53">
            <v>197.89999999999998</v>
          </cell>
          <cell r="H53">
            <v>232.85</v>
          </cell>
          <cell r="I53">
            <v>10.8</v>
          </cell>
          <cell r="J53">
            <v>12.649999999999999</v>
          </cell>
          <cell r="K53">
            <v>220.45000000000002</v>
          </cell>
          <cell r="L53">
            <v>209.89999999999998</v>
          </cell>
          <cell r="M53">
            <v>184.85</v>
          </cell>
          <cell r="N53">
            <v>178.25</v>
          </cell>
          <cell r="O53">
            <v>167.7</v>
          </cell>
          <cell r="P53">
            <v>216.5</v>
          </cell>
          <cell r="Q53">
            <v>236.29999999999998</v>
          </cell>
          <cell r="R53">
            <v>183.55</v>
          </cell>
          <cell r="S53">
            <v>10.8</v>
          </cell>
          <cell r="T53">
            <v>10.3</v>
          </cell>
          <cell r="U53">
            <v>9.5</v>
          </cell>
          <cell r="V53">
            <v>13.35</v>
          </cell>
          <cell r="W53">
            <v>30.35</v>
          </cell>
          <cell r="X53">
            <v>88.149999999999991</v>
          </cell>
          <cell r="Y53">
            <v>132.35</v>
          </cell>
          <cell r="Z53">
            <v>220.45000000000002</v>
          </cell>
          <cell r="AA53">
            <v>130.1</v>
          </cell>
          <cell r="AB53">
            <v>25.8</v>
          </cell>
          <cell r="AC53">
            <v>74.95</v>
          </cell>
          <cell r="AD53">
            <v>112.5</v>
          </cell>
          <cell r="AE53">
            <v>187.39999999999998</v>
          </cell>
          <cell r="AF53">
            <v>110.60000000000001</v>
          </cell>
          <cell r="AG53">
            <v>232.85</v>
          </cell>
          <cell r="AH53">
            <v>199.65</v>
          </cell>
          <cell r="AI53">
            <v>189.85</v>
          </cell>
          <cell r="AJ53">
            <v>171.64999999999998</v>
          </cell>
          <cell r="AK53">
            <v>151.19999999999999</v>
          </cell>
          <cell r="AL53">
            <v>10.3</v>
          </cell>
          <cell r="AM53">
            <v>88.149999999999991</v>
          </cell>
          <cell r="AN53">
            <v>132.35</v>
          </cell>
          <cell r="AO53">
            <v>220.45000000000002</v>
          </cell>
          <cell r="AP53">
            <v>10.3</v>
          </cell>
          <cell r="AQ53">
            <v>10.3</v>
          </cell>
          <cell r="AR53">
            <v>10.3</v>
          </cell>
          <cell r="AS53">
            <v>10.3</v>
          </cell>
          <cell r="AT53">
            <v>10.3</v>
          </cell>
          <cell r="AU53">
            <v>10.3</v>
          </cell>
          <cell r="AV53">
            <v>220.45000000000002</v>
          </cell>
          <cell r="AW53">
            <v>0.19600000000000001</v>
          </cell>
          <cell r="AX53">
            <v>0.19600000000000001</v>
          </cell>
          <cell r="AY53">
            <v>0.19600000000000001</v>
          </cell>
          <cell r="AZ53">
            <v>0.19600000000000001</v>
          </cell>
          <cell r="BA53">
            <v>0.19600000000000001</v>
          </cell>
          <cell r="BB53">
            <v>19.863750562144144</v>
          </cell>
          <cell r="BC53">
            <v>17.480100494686845</v>
          </cell>
          <cell r="BD53">
            <v>1.4158409953928535</v>
          </cell>
          <cell r="BE53">
            <v>2.75</v>
          </cell>
          <cell r="BF53">
            <v>4.3499999999999996</v>
          </cell>
          <cell r="BG53">
            <v>3.3000000000000003</v>
          </cell>
          <cell r="BH53">
            <v>5.4</v>
          </cell>
          <cell r="BI53">
            <v>4.9000000000000004</v>
          </cell>
          <cell r="BJ53">
            <v>198.45</v>
          </cell>
          <cell r="BK53">
            <v>165.3</v>
          </cell>
          <cell r="BL53">
            <v>132.35</v>
          </cell>
          <cell r="BM53">
            <v>10.549999999999999</v>
          </cell>
          <cell r="BN53">
            <v>0.28316819907857066</v>
          </cell>
          <cell r="BO53">
            <v>131.94999999999999</v>
          </cell>
          <cell r="BP53">
            <v>174.14999999999998</v>
          </cell>
          <cell r="BQ53">
            <v>184.7</v>
          </cell>
          <cell r="BR53">
            <v>191.29999999999998</v>
          </cell>
          <cell r="BS53">
            <v>192.65</v>
          </cell>
          <cell r="BT53">
            <v>184.7</v>
          </cell>
          <cell r="BU53">
            <v>182.10000000000002</v>
          </cell>
          <cell r="BV53">
            <v>184.7</v>
          </cell>
          <cell r="BW53">
            <v>200.55</v>
          </cell>
          <cell r="BX53">
            <v>195.25</v>
          </cell>
          <cell r="BY53">
            <v>176.8</v>
          </cell>
          <cell r="BZ53">
            <v>201.6</v>
          </cell>
          <cell r="CA53">
            <v>193.95</v>
          </cell>
          <cell r="CB53">
            <v>180.75</v>
          </cell>
          <cell r="CC53">
            <v>196.6</v>
          </cell>
          <cell r="CD53">
            <v>192.65</v>
          </cell>
          <cell r="CE53">
            <v>10.3</v>
          </cell>
          <cell r="CF53">
            <v>10.3</v>
          </cell>
          <cell r="CG53">
            <v>10.549999999999999</v>
          </cell>
          <cell r="CH53">
            <v>10.549999999999999</v>
          </cell>
          <cell r="CI53">
            <v>10.149999999999999</v>
          </cell>
          <cell r="CJ53">
            <v>16.100000000000001</v>
          </cell>
          <cell r="CK53">
            <v>15.3</v>
          </cell>
          <cell r="CL53">
            <v>8.1999999999999993</v>
          </cell>
          <cell r="CM53">
            <v>25.35</v>
          </cell>
          <cell r="CN53">
            <v>10.4</v>
          </cell>
          <cell r="CO53">
            <v>3.95</v>
          </cell>
          <cell r="CP53">
            <v>580.54999999999995</v>
          </cell>
        </row>
      </sheetData>
      <sheetData sheetId="7"/>
      <sheetData sheetId="8"/>
      <sheetData sheetId="9">
        <row r="2">
          <cell r="A2">
            <v>42735</v>
          </cell>
          <cell r="C2" t="str">
            <v>Canadian Dollar</v>
          </cell>
          <cell r="D2" t="str">
            <v>Euro</v>
          </cell>
          <cell r="E2" t="str">
            <v>British Pound</v>
          </cell>
          <cell r="F2" t="str">
            <v>Price Inflation</v>
          </cell>
          <cell r="G2" t="str">
            <v>WTI</v>
          </cell>
          <cell r="H2" t="str">
            <v>WTI Cdn</v>
          </cell>
          <cell r="I2" t="str">
            <v>NYMEX Henry Hub</v>
          </cell>
          <cell r="J2" t="str">
            <v>NYMEX Henry Hub Cdn</v>
          </cell>
          <cell r="K2" t="str">
            <v>Edmonton Light</v>
          </cell>
          <cell r="L2" t="str">
            <v>Hardisty MSO</v>
          </cell>
          <cell r="M2" t="str">
            <v>Hardisty Bow River</v>
          </cell>
          <cell r="N2" t="str">
            <v>Hardisty WCS</v>
          </cell>
          <cell r="O2" t="str">
            <v>Hardisty Heavy</v>
          </cell>
          <cell r="P2" t="str">
            <v>Cromer Light</v>
          </cell>
          <cell r="Q2" t="str">
            <v>Sarnia Refinery</v>
          </cell>
          <cell r="R2" t="str">
            <v>Synbit AWB</v>
          </cell>
          <cell r="S2" t="str">
            <v>AECO-C Spot</v>
          </cell>
          <cell r="T2" t="str">
            <v>Alberta Gas Reference</v>
          </cell>
          <cell r="U2" t="str">
            <v>BC Westcoast Station 2</v>
          </cell>
          <cell r="V2" t="str">
            <v>Ontario Dawn</v>
          </cell>
          <cell r="W2" t="str">
            <v>Ethane FOB Edmonton</v>
          </cell>
          <cell r="X2" t="str">
            <v>Propane FOB Edmonton</v>
          </cell>
          <cell r="Y2" t="str">
            <v>Butane FOB Edmonton</v>
          </cell>
          <cell r="Z2" t="str">
            <v>Condensate FOB Edmonton</v>
          </cell>
          <cell r="AA2" t="str">
            <v>NGL</v>
          </cell>
          <cell r="AB2" t="str">
            <v>Ethane US</v>
          </cell>
          <cell r="AC2" t="str">
            <v>Propane US</v>
          </cell>
          <cell r="AD2" t="str">
            <v>Butane US</v>
          </cell>
          <cell r="AE2" t="str">
            <v>Condensate US</v>
          </cell>
          <cell r="AF2" t="str">
            <v>NGL US</v>
          </cell>
          <cell r="AG2" t="str">
            <v>WTI Royalty Price</v>
          </cell>
          <cell r="AH2" t="str">
            <v>AB Par Price (Light Oil)</v>
          </cell>
          <cell r="AI2" t="str">
            <v>AB Par Price (Medium Oil)</v>
          </cell>
          <cell r="AJ2" t="str">
            <v>AB Par Price (Heavy Oil)</v>
          </cell>
          <cell r="AK2" t="str">
            <v>AB Par Price (Ultra Heavy Oil)</v>
          </cell>
          <cell r="AL2" t="str">
            <v>Ethane Reference Price</v>
          </cell>
          <cell r="AM2" t="str">
            <v>Propane Reference Price</v>
          </cell>
          <cell r="AN2" t="str">
            <v>Butane Reference Price</v>
          </cell>
          <cell r="AO2" t="str">
            <v>Pentane+ Reference Price</v>
          </cell>
          <cell r="AP2" t="str">
            <v>Methane ISC Reference</v>
          </cell>
          <cell r="AQ2" t="str">
            <v>Ethane ISC Reference</v>
          </cell>
          <cell r="AR2" t="str">
            <v>Propane ISC Reference</v>
          </cell>
          <cell r="AS2" t="str">
            <v>Butane ISC Reference</v>
          </cell>
          <cell r="AT2" t="str">
            <v>Pentane+ ISC Reference</v>
          </cell>
          <cell r="AU2" t="str">
            <v>Ethane Par Price</v>
          </cell>
          <cell r="AV2" t="str">
            <v>Pentane+ Par Price</v>
          </cell>
          <cell r="AW2" t="str">
            <v>AB Transportation Adjustment (C1)</v>
          </cell>
          <cell r="AX2" t="str">
            <v>AB Transportation Adjustment (C2)</v>
          </cell>
          <cell r="AY2" t="str">
            <v>AB Transportation Adjustment (C3)</v>
          </cell>
          <cell r="AZ2" t="str">
            <v>AB Transportation Adjustment (C4)</v>
          </cell>
          <cell r="BA2" t="str">
            <v>AB Transportation Adjustment (C5+)</v>
          </cell>
          <cell r="BB2" t="str">
            <v>BC Threshold (Third Tier Oil)</v>
          </cell>
          <cell r="BC2" t="str">
            <v>BC Threshold (Heavy Oil)</v>
          </cell>
          <cell r="BD2" t="str">
            <v>BC Select Price (Gas)</v>
          </cell>
          <cell r="BE2" t="str">
            <v>BC PMP Group 1</v>
          </cell>
          <cell r="BF2" t="str">
            <v>BC PMP Group 2</v>
          </cell>
          <cell r="BG2" t="str">
            <v>BC PMP Group 3</v>
          </cell>
          <cell r="BH2" t="str">
            <v>BC PMP Group 4</v>
          </cell>
          <cell r="BI2" t="str">
            <v>BC PMP Group 5</v>
          </cell>
          <cell r="BJ2" t="str">
            <v>SK Non Heavy Oil Par Price (NOP)</v>
          </cell>
          <cell r="BK2" t="str">
            <v>SK Southwest Oil Par Price (SOP)</v>
          </cell>
          <cell r="BL2" t="str">
            <v>SK Heavy Oil Par Price (HOP)</v>
          </cell>
          <cell r="BM2" t="str">
            <v>SK Provincial Gas Price (PGP)</v>
          </cell>
          <cell r="BN2" t="str">
            <v>SK Gas Cost Allowance</v>
          </cell>
          <cell r="BO2" t="str">
            <v>Sulphur Alberta Plantgate</v>
          </cell>
          <cell r="BP2" t="str">
            <v>Alaskan North Slope</v>
          </cell>
          <cell r="BQ2" t="str">
            <v>California Kern River</v>
          </cell>
          <cell r="BR2" t="str">
            <v>Louisiana Heavy Sweet</v>
          </cell>
          <cell r="BS2" t="str">
            <v>Louisiana Light Sweet</v>
          </cell>
          <cell r="BT2" t="str">
            <v>MARS Blend</v>
          </cell>
          <cell r="BU2" t="str">
            <v>Wyoming Sweet</v>
          </cell>
          <cell r="BV2" t="str">
            <v>Gulf Coast Argus Sour Crude Index</v>
          </cell>
          <cell r="BW2" t="str">
            <v>Brent Spot</v>
          </cell>
          <cell r="BX2" t="str">
            <v>Average OPEC Basket</v>
          </cell>
          <cell r="BY2" t="str">
            <v>Venezuelan Merey Crude</v>
          </cell>
          <cell r="BZ2" t="str">
            <v>Nigerian Bonny Light</v>
          </cell>
          <cell r="CA2" t="str">
            <v>Arabia UAE Dubai Feteh</v>
          </cell>
          <cell r="CB2" t="str">
            <v>Mexico Maya</v>
          </cell>
          <cell r="CC2" t="str">
            <v>Russia Urals</v>
          </cell>
          <cell r="CD2" t="str">
            <v>Indonesia Minas</v>
          </cell>
          <cell r="CE2" t="str">
            <v>Permian Waha</v>
          </cell>
          <cell r="CF2" t="str">
            <v>San Juan Ignacio</v>
          </cell>
          <cell r="CG2" t="str">
            <v>Gulf Coast (Onshore)</v>
          </cell>
          <cell r="CH2" t="str">
            <v>Louisiana East Texas</v>
          </cell>
          <cell r="CI2" t="str">
            <v>Rocky Mountain Opal</v>
          </cell>
          <cell r="CJ2" t="str">
            <v>UK National Balancing Point</v>
          </cell>
          <cell r="CK2" t="str">
            <v>Russian Natural Gas Border Price in Germany</v>
          </cell>
          <cell r="CL2" t="str">
            <v>Russian Average Domestic Natural Gas</v>
          </cell>
          <cell r="CM2" t="str">
            <v>Indonesian LNG in Japan</v>
          </cell>
          <cell r="CN2" t="str">
            <v>India Domestic Gas</v>
          </cell>
          <cell r="CO2" t="str">
            <v>Ethanol CBOT</v>
          </cell>
          <cell r="CP2" t="str">
            <v>Potash FOB Vancouver</v>
          </cell>
        </row>
        <row r="3">
          <cell r="G3" t="str">
            <v>US/bbl</v>
          </cell>
          <cell r="H3" t="str">
            <v>CAD/bbl</v>
          </cell>
          <cell r="I3" t="str">
            <v>US/Mcf</v>
          </cell>
          <cell r="J3" t="str">
            <v>CAD/Mcf</v>
          </cell>
          <cell r="K3" t="str">
            <v>CAD/bbl</v>
          </cell>
          <cell r="L3" t="str">
            <v>CAD/bbl</v>
          </cell>
          <cell r="M3" t="str">
            <v>CAD/bbl</v>
          </cell>
          <cell r="N3" t="str">
            <v>CAD/bbl</v>
          </cell>
          <cell r="O3" t="str">
            <v>CAD/bbl</v>
          </cell>
          <cell r="P3" t="str">
            <v>CAD/bbl</v>
          </cell>
          <cell r="Q3" t="str">
            <v>CAD/bbl</v>
          </cell>
          <cell r="R3" t="str">
            <v>CAD/bbl</v>
          </cell>
          <cell r="S3" t="str">
            <v>CAD/Mcf</v>
          </cell>
          <cell r="T3" t="str">
            <v>CAD/Mcf</v>
          </cell>
          <cell r="U3" t="str">
            <v>CAD/Mcf</v>
          </cell>
          <cell r="V3" t="str">
            <v>CAD/Mcf</v>
          </cell>
          <cell r="W3" t="str">
            <v>CAD/bbl</v>
          </cell>
          <cell r="X3" t="str">
            <v>CAD/bbl</v>
          </cell>
          <cell r="Y3" t="str">
            <v>CAD/bbl</v>
          </cell>
          <cell r="Z3" t="str">
            <v>CAD/bbl</v>
          </cell>
          <cell r="AA3" t="str">
            <v>CAD/bbl</v>
          </cell>
          <cell r="AB3" t="str">
            <v>USD/bbl</v>
          </cell>
          <cell r="AC3" t="str">
            <v>USD/bbl</v>
          </cell>
          <cell r="AD3" t="str">
            <v>USD/bbl</v>
          </cell>
          <cell r="AE3" t="str">
            <v>USD/bbl</v>
          </cell>
          <cell r="AF3" t="str">
            <v>USD/bbl</v>
          </cell>
          <cell r="AG3" t="str">
            <v>CAD/bbl</v>
          </cell>
          <cell r="AH3" t="str">
            <v>CAD/bbl</v>
          </cell>
          <cell r="AI3" t="str">
            <v>CAD/bbl</v>
          </cell>
          <cell r="AJ3" t="str">
            <v>CAD/bbl</v>
          </cell>
          <cell r="AK3" t="str">
            <v>CAD/bbl</v>
          </cell>
          <cell r="AL3" t="str">
            <v>CAD/Mcf</v>
          </cell>
          <cell r="AM3" t="str">
            <v>CAD/bbl</v>
          </cell>
          <cell r="AN3" t="str">
            <v>CAD/bbl</v>
          </cell>
          <cell r="AO3" t="str">
            <v>CAD/bbl</v>
          </cell>
          <cell r="AP3" t="str">
            <v>CAD/Mcf</v>
          </cell>
          <cell r="AQ3" t="str">
            <v>CAD/Mcf</v>
          </cell>
          <cell r="AR3" t="str">
            <v>CAD/Mcf</v>
          </cell>
          <cell r="AS3" t="str">
            <v>CAD/Mcf</v>
          </cell>
          <cell r="AT3" t="str">
            <v>CAD/Mcf</v>
          </cell>
          <cell r="AU3" t="str">
            <v>CAD/Mcf</v>
          </cell>
          <cell r="AV3" t="str">
            <v>CAD/bbl</v>
          </cell>
          <cell r="AW3" t="str">
            <v>CAD/Mcf</v>
          </cell>
          <cell r="AX3" t="str">
            <v>CAD/Mcf</v>
          </cell>
          <cell r="AY3" t="str">
            <v>CAD/Mcf</v>
          </cell>
          <cell r="AZ3" t="str">
            <v>CAD/Mcf</v>
          </cell>
          <cell r="BA3" t="str">
            <v>CAD/Mcf</v>
          </cell>
          <cell r="BB3" t="str">
            <v>CAD/bbl</v>
          </cell>
          <cell r="BC3" t="str">
            <v>CAD/bbl</v>
          </cell>
          <cell r="BD3" t="str">
            <v>CAD/Mcf</v>
          </cell>
          <cell r="BE3" t="str">
            <v>CAD/Mcf</v>
          </cell>
          <cell r="BF3" t="str">
            <v>CAD/Mcf</v>
          </cell>
          <cell r="BG3" t="str">
            <v>CAD/Mcf</v>
          </cell>
          <cell r="BH3" t="str">
            <v>CAD/Mcf</v>
          </cell>
          <cell r="BI3" t="str">
            <v>CAD/Mcf</v>
          </cell>
          <cell r="BJ3" t="str">
            <v>CAD/bbl</v>
          </cell>
          <cell r="BK3" t="str">
            <v>CAD/bbl</v>
          </cell>
          <cell r="BL3" t="str">
            <v>CAD/bbl</v>
          </cell>
          <cell r="BM3" t="str">
            <v>CAD/Mcf</v>
          </cell>
          <cell r="BN3" t="str">
            <v>CAD/Mcf</v>
          </cell>
          <cell r="BO3" t="str">
            <v>CAD/lt</v>
          </cell>
          <cell r="BP3" t="str">
            <v>US/bbl</v>
          </cell>
          <cell r="BQ3" t="str">
            <v>US/bbl</v>
          </cell>
          <cell r="BR3" t="str">
            <v>US/bbl</v>
          </cell>
          <cell r="BS3" t="str">
            <v>US/bbl</v>
          </cell>
          <cell r="BT3" t="str">
            <v>US/bbl</v>
          </cell>
          <cell r="BU3" t="str">
            <v>US/bbl</v>
          </cell>
          <cell r="BV3" t="str">
            <v>US/bbl</v>
          </cell>
          <cell r="BW3" t="str">
            <v>US/bbl</v>
          </cell>
          <cell r="BX3" t="str">
            <v>US/bbl</v>
          </cell>
          <cell r="BY3" t="str">
            <v>US/bbl</v>
          </cell>
          <cell r="BZ3" t="str">
            <v>US/bbl</v>
          </cell>
          <cell r="CA3" t="str">
            <v>US/bbl</v>
          </cell>
          <cell r="CB3" t="str">
            <v>US/bbl</v>
          </cell>
          <cell r="CC3" t="str">
            <v>US/bbl</v>
          </cell>
          <cell r="CD3" t="str">
            <v>US/bbl</v>
          </cell>
          <cell r="CE3" t="str">
            <v>US/Mcf</v>
          </cell>
          <cell r="CF3" t="str">
            <v>US/Mcf</v>
          </cell>
          <cell r="CG3" t="str">
            <v>US/Mcf</v>
          </cell>
          <cell r="CH3" t="str">
            <v>US/Mcf</v>
          </cell>
          <cell r="CI3" t="str">
            <v>US/Mcf</v>
          </cell>
          <cell r="CJ3" t="str">
            <v>US/Mcf</v>
          </cell>
          <cell r="CK3" t="str">
            <v>US/Mcf</v>
          </cell>
          <cell r="CL3" t="str">
            <v>US/Mcf</v>
          </cell>
          <cell r="CM3" t="str">
            <v>US/Mcf</v>
          </cell>
          <cell r="CN3" t="str">
            <v>US/Mcf</v>
          </cell>
          <cell r="CO3" t="str">
            <v>US/gal</v>
          </cell>
          <cell r="CP3" t="str">
            <v>US/tonne</v>
          </cell>
        </row>
        <row r="4">
          <cell r="A4">
            <v>1</v>
          </cell>
          <cell r="B4">
            <v>2006</v>
          </cell>
          <cell r="C4">
            <v>0.86699999999999999</v>
          </cell>
          <cell r="D4">
            <v>1.3205</v>
          </cell>
          <cell r="E4">
            <v>1.9629000000000001</v>
          </cell>
          <cell r="F4">
            <v>1.7000000000000001E-2</v>
          </cell>
          <cell r="G4">
            <v>61.96</v>
          </cell>
          <cell r="H4">
            <v>71.464821222606687</v>
          </cell>
          <cell r="I4">
            <v>6.73</v>
          </cell>
          <cell r="J4">
            <v>7.762399077277971</v>
          </cell>
          <cell r="K4">
            <v>68.59</v>
          </cell>
          <cell r="L4">
            <v>60.64</v>
          </cell>
          <cell r="M4">
            <v>51.71</v>
          </cell>
          <cell r="N4">
            <v>50.61</v>
          </cell>
          <cell r="O4">
            <v>37.1</v>
          </cell>
          <cell r="P4">
            <v>61.51</v>
          </cell>
          <cell r="Q4">
            <v>70.599769319492509</v>
          </cell>
          <cell r="R4">
            <v>48.758171374905253</v>
          </cell>
          <cell r="S4">
            <v>7.18</v>
          </cell>
          <cell r="T4">
            <v>7.4350357499999999</v>
          </cell>
          <cell r="U4">
            <v>7.76</v>
          </cell>
          <cell r="V4">
            <v>9.0399999999999991</v>
          </cell>
          <cell r="W4">
            <v>22.05</v>
          </cell>
          <cell r="X4">
            <v>42.5</v>
          </cell>
          <cell r="Y4">
            <v>50.708054687834995</v>
          </cell>
          <cell r="Z4">
            <v>75.960571249684179</v>
          </cell>
          <cell r="AA4">
            <v>52.064933390679087</v>
          </cell>
          <cell r="AB4">
            <v>19.117350000000002</v>
          </cell>
          <cell r="AC4">
            <v>49.019607843137258</v>
          </cell>
          <cell r="AD4">
            <v>58.486798947906571</v>
          </cell>
          <cell r="AE4">
            <v>87.613115628240109</v>
          </cell>
          <cell r="AF4">
            <v>60.051826286827094</v>
          </cell>
          <cell r="AG4">
            <v>71.464821222606687</v>
          </cell>
          <cell r="AH4">
            <v>61.227389092735109</v>
          </cell>
          <cell r="AI4">
            <v>0</v>
          </cell>
          <cell r="AJ4">
            <v>37.428073359214487</v>
          </cell>
          <cell r="AK4">
            <v>0</v>
          </cell>
          <cell r="AL4">
            <v>7.4350357499999999</v>
          </cell>
          <cell r="AM4">
            <v>42.5</v>
          </cell>
          <cell r="AN4">
            <v>50.708054687834995</v>
          </cell>
          <cell r="AO4">
            <v>75.960571249684179</v>
          </cell>
          <cell r="AP4">
            <v>7.4139434500000005</v>
          </cell>
          <cell r="AQ4">
            <v>7.5615895500000008</v>
          </cell>
          <cell r="AR4">
            <v>7.5826818500000011</v>
          </cell>
          <cell r="AS4">
            <v>7.6037741500000005</v>
          </cell>
          <cell r="AT4">
            <v>7.6248664500000007</v>
          </cell>
          <cell r="AU4">
            <v>7.4350357499999999</v>
          </cell>
          <cell r="AV4">
            <v>72.06568703945895</v>
          </cell>
          <cell r="AW4">
            <v>0</v>
          </cell>
          <cell r="AX4">
            <v>0</v>
          </cell>
          <cell r="AY4">
            <v>0</v>
          </cell>
          <cell r="AZ4">
            <v>0</v>
          </cell>
          <cell r="BA4">
            <v>0</v>
          </cell>
          <cell r="BB4">
            <v>19.863750562144144</v>
          </cell>
          <cell r="BC4">
            <v>17.480100494686845</v>
          </cell>
          <cell r="BD4">
            <v>1.4158409953928535</v>
          </cell>
          <cell r="BE4">
            <v>5.4373674418868063</v>
          </cell>
          <cell r="BF4">
            <v>5.8556635055656709</v>
          </cell>
          <cell r="BG4">
            <v>5.0012034648460846</v>
          </cell>
          <cell r="BH4">
            <v>5.6323853805922184</v>
          </cell>
          <cell r="BI4">
            <v>5.6662522972020151</v>
          </cell>
          <cell r="BJ4">
            <v>58.16106164595805</v>
          </cell>
          <cell r="BK4">
            <v>46.560631317665873</v>
          </cell>
          <cell r="BL4">
            <v>37.820581070322447</v>
          </cell>
          <cell r="BM4">
            <v>7.3643553534363875</v>
          </cell>
          <cell r="BN4">
            <v>0.28316819907857066</v>
          </cell>
          <cell r="BO4">
            <v>10.90218474498845</v>
          </cell>
          <cell r="BP4">
            <v>51.58</v>
          </cell>
          <cell r="BQ4">
            <v>51.2</v>
          </cell>
          <cell r="BR4">
            <v>58.95</v>
          </cell>
          <cell r="BS4">
            <v>59.56</v>
          </cell>
          <cell r="BT4">
            <v>53.01</v>
          </cell>
          <cell r="BU4">
            <v>53.16</v>
          </cell>
          <cell r="BV4">
            <v>0</v>
          </cell>
          <cell r="BW4">
            <v>62.47</v>
          </cell>
          <cell r="BX4">
            <v>57.947500000000005</v>
          </cell>
          <cell r="BY4">
            <v>0</v>
          </cell>
          <cell r="BZ4">
            <v>64.28</v>
          </cell>
          <cell r="CA4">
            <v>58.69</v>
          </cell>
          <cell r="CB4">
            <v>47.91</v>
          </cell>
          <cell r="CC4">
            <v>57.95</v>
          </cell>
          <cell r="CD4">
            <v>62.55</v>
          </cell>
          <cell r="CE4">
            <v>6.43</v>
          </cell>
          <cell r="CF4">
            <v>6.51</v>
          </cell>
          <cell r="CG4">
            <v>6.77</v>
          </cell>
          <cell r="CH4">
            <v>6.69</v>
          </cell>
          <cell r="CI4">
            <v>4.83</v>
          </cell>
          <cell r="CJ4">
            <v>4.8522727272727275</v>
          </cell>
          <cell r="CK4">
            <v>8.65</v>
          </cell>
          <cell r="CL4">
            <v>1.18</v>
          </cell>
          <cell r="CM4">
            <v>7.29</v>
          </cell>
          <cell r="CN4">
            <v>0</v>
          </cell>
          <cell r="CO4">
            <v>0</v>
          </cell>
        </row>
        <row r="5">
          <cell r="A5">
            <v>2</v>
          </cell>
          <cell r="B5">
            <v>2007</v>
          </cell>
          <cell r="C5">
            <v>0.93516666666666681</v>
          </cell>
          <cell r="D5">
            <v>1.3709</v>
          </cell>
          <cell r="E5">
            <v>2.0016499999999997</v>
          </cell>
          <cell r="F5">
            <v>2.1416666666666664E-2</v>
          </cell>
          <cell r="G5">
            <v>72.316666666666663</v>
          </cell>
          <cell r="H5">
            <v>76.814677003549221</v>
          </cell>
          <cell r="I5">
            <v>6.9766666666666657</v>
          </cell>
          <cell r="J5">
            <v>7.5097479454993703</v>
          </cell>
          <cell r="K5">
            <v>77.05083333333333</v>
          </cell>
          <cell r="L5">
            <v>64.87166666666667</v>
          </cell>
          <cell r="M5">
            <v>53.87166666666667</v>
          </cell>
          <cell r="N5">
            <v>52.903333333333343</v>
          </cell>
          <cell r="O5">
            <v>39.763333333333328</v>
          </cell>
          <cell r="P5">
            <v>70.056666666666658</v>
          </cell>
          <cell r="Q5">
            <v>78.477645423235288</v>
          </cell>
          <cell r="R5">
            <v>52.315651078654632</v>
          </cell>
          <cell r="S5">
            <v>6.4475000000000007</v>
          </cell>
          <cell r="T5">
            <v>6.202893891666668</v>
          </cell>
          <cell r="U5">
            <v>6.3975</v>
          </cell>
          <cell r="V5">
            <v>7.432500000000001</v>
          </cell>
          <cell r="W5">
            <v>18.414999999999999</v>
          </cell>
          <cell r="X5">
            <v>49.74907407407408</v>
          </cell>
          <cell r="Y5">
            <v>59.348381116635949</v>
          </cell>
          <cell r="Z5">
            <v>81.6043924844043</v>
          </cell>
          <cell r="AA5">
            <v>59.47989522103677</v>
          </cell>
          <cell r="AB5">
            <v>17.108781666666669</v>
          </cell>
          <cell r="AC5">
            <v>49.192721702998142</v>
          </cell>
          <cell r="AD5">
            <v>58.595060513502183</v>
          </cell>
          <cell r="AE5">
            <v>80.588866717624271</v>
          </cell>
          <cell r="AF5">
            <v>58.762769289599788</v>
          </cell>
          <cell r="AG5">
            <v>76.814677003549221</v>
          </cell>
          <cell r="AH5">
            <v>67.294996824448404</v>
          </cell>
          <cell r="AI5">
            <v>0</v>
          </cell>
          <cell r="AJ5">
            <v>46.241619483637834</v>
          </cell>
          <cell r="AK5">
            <v>0</v>
          </cell>
          <cell r="AL5">
            <v>6.202893891666668</v>
          </cell>
          <cell r="AM5">
            <v>49.74907407407408</v>
          </cell>
          <cell r="AN5">
            <v>59.348381116635949</v>
          </cell>
          <cell r="AO5">
            <v>81.6043924844043</v>
          </cell>
          <cell r="AP5">
            <v>6.1589516000000009</v>
          </cell>
          <cell r="AQ5">
            <v>6.5342187708333341</v>
          </cell>
          <cell r="AR5">
            <v>6.6291341208333341</v>
          </cell>
          <cell r="AS5">
            <v>6.6563783416666666</v>
          </cell>
          <cell r="AT5">
            <v>6.6792283333333335</v>
          </cell>
          <cell r="AU5">
            <v>6.202893891666668</v>
          </cell>
          <cell r="AV5">
            <v>79.480030574284868</v>
          </cell>
          <cell r="AW5">
            <v>0</v>
          </cell>
          <cell r="AX5">
            <v>0</v>
          </cell>
          <cell r="AY5">
            <v>0</v>
          </cell>
          <cell r="AZ5">
            <v>0</v>
          </cell>
          <cell r="BA5">
            <v>0</v>
          </cell>
          <cell r="BB5">
            <v>19.863750562144141</v>
          </cell>
          <cell r="BC5">
            <v>17.480100494686841</v>
          </cell>
          <cell r="BD5">
            <v>1.4158409953928535</v>
          </cell>
          <cell r="BE5">
            <v>4.7594250175328305</v>
          </cell>
          <cell r="BF5">
            <v>5.0828337774354582</v>
          </cell>
          <cell r="BG5">
            <v>4.1413891854289195</v>
          </cell>
          <cell r="BH5">
            <v>4.756614573156976</v>
          </cell>
          <cell r="BI5">
            <v>4.8684683715280039</v>
          </cell>
          <cell r="BJ5">
            <v>65.04716184083469</v>
          </cell>
          <cell r="BK5">
            <v>51.433871455578561</v>
          </cell>
          <cell r="BL5">
            <v>41.184176165512184</v>
          </cell>
          <cell r="BM5">
            <v>6.055174379696461</v>
          </cell>
          <cell r="BN5">
            <v>0.28316819907857071</v>
          </cell>
          <cell r="BO5">
            <v>38.017940139385395</v>
          </cell>
          <cell r="BP5">
            <v>63.799166666666657</v>
          </cell>
          <cell r="BQ5">
            <v>57.283333333333331</v>
          </cell>
          <cell r="BR5">
            <v>70.198333333333323</v>
          </cell>
          <cell r="BS5">
            <v>72.339999999999989</v>
          </cell>
          <cell r="BT5">
            <v>63.802500000000002</v>
          </cell>
          <cell r="BU5">
            <v>64.355000000000004</v>
          </cell>
          <cell r="BV5">
            <v>0</v>
          </cell>
          <cell r="BW5">
            <v>72.464999999999989</v>
          </cell>
          <cell r="BX5">
            <v>69.071408102766796</v>
          </cell>
          <cell r="BY5">
            <v>0</v>
          </cell>
          <cell r="BZ5">
            <v>75.144999999999996</v>
          </cell>
          <cell r="CA5">
            <v>68.396666666666661</v>
          </cell>
          <cell r="CB5">
            <v>59.852499999999999</v>
          </cell>
          <cell r="CC5">
            <v>69.542500000000004</v>
          </cell>
          <cell r="CD5">
            <v>73.549166666666665</v>
          </cell>
          <cell r="CE5">
            <v>6.2408333333333319</v>
          </cell>
          <cell r="CF5">
            <v>6.1275000000000013</v>
          </cell>
          <cell r="CG5">
            <v>6.5641666666666678</v>
          </cell>
          <cell r="CH5">
            <v>6.9908333333333346</v>
          </cell>
          <cell r="CI5">
            <v>4.0049999999999999</v>
          </cell>
          <cell r="CJ5">
            <v>2.932821185992831</v>
          </cell>
          <cell r="CK5">
            <v>8.1425000000000001</v>
          </cell>
          <cell r="CL5">
            <v>1.4499999999999995</v>
          </cell>
          <cell r="CM5">
            <v>8.4108333333333327</v>
          </cell>
          <cell r="CN5">
            <v>0</v>
          </cell>
          <cell r="CO5">
            <v>0</v>
          </cell>
        </row>
        <row r="6">
          <cell r="A6">
            <v>3</v>
          </cell>
          <cell r="B6">
            <v>2008</v>
          </cell>
          <cell r="C6">
            <v>0.9428333333333333</v>
          </cell>
          <cell r="D6">
            <v>1.4703333333333335</v>
          </cell>
          <cell r="E6">
            <v>1.8521833333333333</v>
          </cell>
          <cell r="F6">
            <v>2.3750000000000004E-2</v>
          </cell>
          <cell r="G6">
            <v>99.571666666666644</v>
          </cell>
          <cell r="H6">
            <v>104.18137300634466</v>
          </cell>
          <cell r="I6">
            <v>8.8616666666666664</v>
          </cell>
          <cell r="J6">
            <v>9.3243131233601719</v>
          </cell>
          <cell r="K6">
            <v>102.79666666666668</v>
          </cell>
          <cell r="L6">
            <v>92.398333333333326</v>
          </cell>
          <cell r="M6">
            <v>83.901666666666671</v>
          </cell>
          <cell r="N6">
            <v>82.94583333333334</v>
          </cell>
          <cell r="O6">
            <v>73.075833333333307</v>
          </cell>
          <cell r="P6">
            <v>95.277499999999989</v>
          </cell>
          <cell r="Q6">
            <v>109.20650547726895</v>
          </cell>
          <cell r="R6">
            <v>84.08408302028063</v>
          </cell>
          <cell r="S6">
            <v>8.1558333333333355</v>
          </cell>
          <cell r="T6">
            <v>7.876216358333334</v>
          </cell>
          <cell r="U6">
            <v>8.2033333333333349</v>
          </cell>
          <cell r="V6">
            <v>9.8825833333333346</v>
          </cell>
          <cell r="W6">
            <v>22.590000000000003</v>
          </cell>
          <cell r="X6">
            <v>56.956216931216936</v>
          </cell>
          <cell r="Y6">
            <v>83.537801295784263</v>
          </cell>
          <cell r="Z6">
            <v>109.76999895649095</v>
          </cell>
          <cell r="AA6">
            <v>76.82252786387032</v>
          </cell>
          <cell r="AB6">
            <v>21.469440833333334</v>
          </cell>
          <cell r="AC6">
            <v>54.455307275132277</v>
          </cell>
          <cell r="AD6">
            <v>79.787749020803588</v>
          </cell>
          <cell r="AE6">
            <v>105.12097408124856</v>
          </cell>
          <cell r="AF6">
            <v>73.454795247340499</v>
          </cell>
          <cell r="AG6">
            <v>104.18137300634466</v>
          </cell>
          <cell r="AH6">
            <v>104.53411294581541</v>
          </cell>
          <cell r="AI6">
            <v>0</v>
          </cell>
          <cell r="AJ6">
            <v>80.632392956896723</v>
          </cell>
          <cell r="AK6">
            <v>0</v>
          </cell>
          <cell r="AL6">
            <v>7.876216358333334</v>
          </cell>
          <cell r="AM6">
            <v>56.956216931216936</v>
          </cell>
          <cell r="AN6">
            <v>83.537801295784263</v>
          </cell>
          <cell r="AO6">
            <v>109.76999895649095</v>
          </cell>
          <cell r="AP6">
            <v>7.8270009916666661</v>
          </cell>
          <cell r="AQ6">
            <v>8.3042142791666667</v>
          </cell>
          <cell r="AR6">
            <v>8.5318353499999997</v>
          </cell>
          <cell r="AS6">
            <v>8.4711949875000006</v>
          </cell>
          <cell r="AT6">
            <v>8.4940449791666683</v>
          </cell>
          <cell r="AU6">
            <v>7.876216358333334</v>
          </cell>
          <cell r="AV6">
            <v>106.46930573808136</v>
          </cell>
          <cell r="AW6">
            <v>0</v>
          </cell>
          <cell r="AX6">
            <v>0</v>
          </cell>
          <cell r="AY6">
            <v>0</v>
          </cell>
          <cell r="AZ6">
            <v>0</v>
          </cell>
          <cell r="BA6">
            <v>0</v>
          </cell>
          <cell r="BB6">
            <v>19.863750562144141</v>
          </cell>
          <cell r="BC6">
            <v>17.480100494686841</v>
          </cell>
          <cell r="BD6">
            <v>1.4158409953928535</v>
          </cell>
          <cell r="BE6">
            <v>5.9716185233533539</v>
          </cell>
          <cell r="BF6">
            <v>6.3592356723970482</v>
          </cell>
          <cell r="BG6">
            <v>5.533722500828266</v>
          </cell>
          <cell r="BH6">
            <v>6.0640635014125372</v>
          </cell>
          <cell r="BI6">
            <v>6.2773269110785774</v>
          </cell>
          <cell r="BJ6">
            <v>92.22077260984787</v>
          </cell>
          <cell r="BK6">
            <v>81.057344793922866</v>
          </cell>
          <cell r="BL6">
            <v>71.853807033462729</v>
          </cell>
          <cell r="BM6">
            <v>7.9075427513188563</v>
          </cell>
          <cell r="BN6">
            <v>0.28316819907857071</v>
          </cell>
          <cell r="BO6">
            <v>303.82854653251599</v>
          </cell>
          <cell r="BP6">
            <v>91.234999999999999</v>
          </cell>
          <cell r="BQ6">
            <v>87.201666666666668</v>
          </cell>
          <cell r="BR6">
            <v>103.61666666666666</v>
          </cell>
          <cell r="BS6">
            <v>100.81833333333333</v>
          </cell>
          <cell r="BT6">
            <v>94.606666666666669</v>
          </cell>
          <cell r="BU6">
            <v>88.384166666666658</v>
          </cell>
          <cell r="BV6">
            <v>0</v>
          </cell>
          <cell r="BW6">
            <v>96.847500000000011</v>
          </cell>
          <cell r="BX6">
            <v>94.052483538804196</v>
          </cell>
          <cell r="BY6">
            <v>0</v>
          </cell>
          <cell r="BZ6">
            <v>100.23749999999997</v>
          </cell>
          <cell r="CA6">
            <v>93.475833333333313</v>
          </cell>
          <cell r="CB6">
            <v>83.834166666666675</v>
          </cell>
          <cell r="CC6">
            <v>94.505833333333328</v>
          </cell>
          <cell r="CD6">
            <v>100.25416666666665</v>
          </cell>
          <cell r="CE6">
            <v>7.4424999999999999</v>
          </cell>
          <cell r="CF6">
            <v>7.1958333333333337</v>
          </cell>
          <cell r="CG6">
            <v>8.4841666666666669</v>
          </cell>
          <cell r="CH6">
            <v>8.8899999999999988</v>
          </cell>
          <cell r="CI6">
            <v>6.5183333333333344</v>
          </cell>
          <cell r="CJ6">
            <v>6.139072441836916</v>
          </cell>
          <cell r="CK6">
            <v>13.137500000000001</v>
          </cell>
          <cell r="CL6">
            <v>2.14</v>
          </cell>
          <cell r="CM6">
            <v>11.590833333333334</v>
          </cell>
          <cell r="CN6">
            <v>0</v>
          </cell>
          <cell r="CO6">
            <v>1.8402500377742224</v>
          </cell>
        </row>
        <row r="7">
          <cell r="A7">
            <v>4</v>
          </cell>
          <cell r="B7">
            <v>2009</v>
          </cell>
          <cell r="C7">
            <v>0.87974999999999992</v>
          </cell>
          <cell r="D7">
            <v>1.393258333333333</v>
          </cell>
          <cell r="E7">
            <v>1.5651916666666665</v>
          </cell>
          <cell r="F7">
            <v>3.0833333333333338E-3</v>
          </cell>
          <cell r="G7">
            <v>61.654166666666676</v>
          </cell>
          <cell r="H7">
            <v>69.421814697338235</v>
          </cell>
          <cell r="I7">
            <v>3.9483333333333337</v>
          </cell>
          <cell r="J7">
            <v>4.5193321102371105</v>
          </cell>
          <cell r="K7">
            <v>66.095833333333346</v>
          </cell>
          <cell r="L7">
            <v>63.7575</v>
          </cell>
          <cell r="M7">
            <v>59.797499999999992</v>
          </cell>
          <cell r="N7">
            <v>58.656666666666666</v>
          </cell>
          <cell r="O7">
            <v>54.396666666666668</v>
          </cell>
          <cell r="P7">
            <v>64.042500000000004</v>
          </cell>
          <cell r="Q7">
            <v>69.288732529174965</v>
          </cell>
          <cell r="R7">
            <v>58.924911246643688</v>
          </cell>
          <cell r="S7">
            <v>3.960833333333333</v>
          </cell>
          <cell r="T7">
            <v>3.8467082125000007</v>
          </cell>
          <cell r="U7">
            <v>4.1725000000000003</v>
          </cell>
          <cell r="V7">
            <v>4.7954999999999997</v>
          </cell>
          <cell r="W7">
            <v>11.610833333333334</v>
          </cell>
          <cell r="X7">
            <v>34.61507936507936</v>
          </cell>
          <cell r="Y7">
            <v>56.212676325495003</v>
          </cell>
          <cell r="Z7">
            <v>69.49081526659009</v>
          </cell>
          <cell r="AA7">
            <v>49.149385481526984</v>
          </cell>
          <cell r="AB7">
            <v>10.134243333333332</v>
          </cell>
          <cell r="AC7">
            <v>30.622696164021164</v>
          </cell>
          <cell r="AD7">
            <v>49.909180360064767</v>
          </cell>
          <cell r="AE7">
            <v>61.585377313266186</v>
          </cell>
          <cell r="AF7">
            <v>43.565501862485434</v>
          </cell>
          <cell r="AG7">
            <v>69.421814697338235</v>
          </cell>
          <cell r="AH7">
            <v>59.95625472426201</v>
          </cell>
          <cell r="AI7">
            <v>54.348148513052614</v>
          </cell>
          <cell r="AJ7">
            <v>51.177893923334409</v>
          </cell>
          <cell r="AK7">
            <v>47.167535109841253</v>
          </cell>
          <cell r="AL7">
            <v>3.8467082125000007</v>
          </cell>
          <cell r="AM7">
            <v>34.61507936507936</v>
          </cell>
          <cell r="AN7">
            <v>56.212676325495003</v>
          </cell>
          <cell r="AO7">
            <v>69.49081526659009</v>
          </cell>
          <cell r="AP7">
            <v>3.8097966875000004</v>
          </cell>
          <cell r="AQ7">
            <v>4.1797907833333339</v>
          </cell>
          <cell r="AR7">
            <v>4.3107388125000012</v>
          </cell>
          <cell r="AS7">
            <v>4.3397407249999995</v>
          </cell>
          <cell r="AT7">
            <v>4.3661061000000005</v>
          </cell>
          <cell r="AU7">
            <v>3.8467082125000007</v>
          </cell>
          <cell r="AV7">
            <v>65.859324388818891</v>
          </cell>
          <cell r="AW7">
            <v>0.30742027250000004</v>
          </cell>
          <cell r="AX7">
            <v>0.17541762833333333</v>
          </cell>
          <cell r="AY7">
            <v>0.12321418583333336</v>
          </cell>
          <cell r="AZ7">
            <v>9.5179003750000005E-2</v>
          </cell>
          <cell r="BA7">
            <v>7.2241127500000002E-2</v>
          </cell>
          <cell r="BB7">
            <v>19.863750562144141</v>
          </cell>
          <cell r="BC7">
            <v>17.480100494686841</v>
          </cell>
          <cell r="BD7">
            <v>1.4158409953928535</v>
          </cell>
          <cell r="BE7">
            <v>2.7029537274845885</v>
          </cell>
          <cell r="BF7">
            <v>2.9885951648086113</v>
          </cell>
          <cell r="BG7">
            <v>2.3752054149310817</v>
          </cell>
          <cell r="BH7">
            <v>2.7766529707647716</v>
          </cell>
          <cell r="BI7">
            <v>2.6515822967017511</v>
          </cell>
          <cell r="BJ7">
            <v>61.498171740398277</v>
          </cell>
          <cell r="BK7">
            <v>56.691144104359388</v>
          </cell>
          <cell r="BL7">
            <v>52.307876480312906</v>
          </cell>
          <cell r="BM7">
            <v>3.8287880117911235</v>
          </cell>
          <cell r="BN7">
            <v>0.28316819907857071</v>
          </cell>
          <cell r="BO7">
            <v>-5.0836220261657843</v>
          </cell>
          <cell r="BP7">
            <v>54.836666666666666</v>
          </cell>
          <cell r="BQ7">
            <v>48.662500000000001</v>
          </cell>
          <cell r="BR7">
            <v>58.783333333333339</v>
          </cell>
          <cell r="BS7">
            <v>60.287500000000001</v>
          </cell>
          <cell r="BT7">
            <v>56.508333333333326</v>
          </cell>
          <cell r="BU7">
            <v>51.727499999999999</v>
          </cell>
          <cell r="BV7">
            <v>50.402499999999996</v>
          </cell>
          <cell r="BW7">
            <v>61.49</v>
          </cell>
          <cell r="BX7">
            <v>60.862260916619611</v>
          </cell>
          <cell r="BY7">
            <v>49.372500000000002</v>
          </cell>
          <cell r="BZ7">
            <v>53.008333333333333</v>
          </cell>
          <cell r="CA7">
            <v>61.649166666666652</v>
          </cell>
          <cell r="CB7">
            <v>56.405000000000001</v>
          </cell>
          <cell r="CC7">
            <v>60.702500000000008</v>
          </cell>
          <cell r="CD7">
            <v>39.225000000000001</v>
          </cell>
          <cell r="CE7">
            <v>3.4308333333333336</v>
          </cell>
          <cell r="CF7">
            <v>3.34</v>
          </cell>
          <cell r="CG7">
            <v>3.754999999999999</v>
          </cell>
          <cell r="CH7">
            <v>3.9550000000000001</v>
          </cell>
          <cell r="CI7">
            <v>3.1441666666666666</v>
          </cell>
          <cell r="CJ7">
            <v>4.5308199294349176</v>
          </cell>
          <cell r="CK7">
            <v>8.8550000000000022</v>
          </cell>
          <cell r="CL7">
            <v>1.93</v>
          </cell>
          <cell r="CM7">
            <v>7.4908333333333337</v>
          </cell>
          <cell r="CN7">
            <v>0</v>
          </cell>
          <cell r="CO7">
            <v>1.7242805390984877</v>
          </cell>
        </row>
        <row r="8">
          <cell r="A8">
            <v>5</v>
          </cell>
          <cell r="B8">
            <v>2010</v>
          </cell>
          <cell r="C8">
            <v>0.97091666666666665</v>
          </cell>
          <cell r="D8">
            <v>1.3275999999999999</v>
          </cell>
          <cell r="E8">
            <v>1.5460916666666666</v>
          </cell>
          <cell r="F8">
            <v>1.7583333333333329E-2</v>
          </cell>
          <cell r="G8">
            <v>79.39500000000001</v>
          </cell>
          <cell r="H8">
            <v>81.731542303338756</v>
          </cell>
          <cell r="I8">
            <v>4.3866666666666676</v>
          </cell>
          <cell r="J8">
            <v>4.5258493432132392</v>
          </cell>
          <cell r="K8">
            <v>77.804166666666674</v>
          </cell>
          <cell r="L8">
            <v>72.31750000000001</v>
          </cell>
          <cell r="M8">
            <v>68.181666666666672</v>
          </cell>
          <cell r="N8">
            <v>67.222500000000011</v>
          </cell>
          <cell r="O8">
            <v>60.622500000000002</v>
          </cell>
          <cell r="P8">
            <v>76.394999999999996</v>
          </cell>
          <cell r="Q8">
            <v>81.482837419453176</v>
          </cell>
          <cell r="R8">
            <v>67.641459000821555</v>
          </cell>
          <cell r="S8">
            <v>4.0100000000000007</v>
          </cell>
          <cell r="T8">
            <v>3.7649755499999995</v>
          </cell>
          <cell r="U8">
            <v>4.0108333333333333</v>
          </cell>
          <cell r="V8">
            <v>4.7887499999999994</v>
          </cell>
          <cell r="W8">
            <v>11.534166666666666</v>
          </cell>
          <cell r="X8">
            <v>45.188756613756617</v>
          </cell>
          <cell r="Y8">
            <v>68.786331111580481</v>
          </cell>
          <cell r="Z8">
            <v>84.01903000273856</v>
          </cell>
          <cell r="AA8">
            <v>61.21396236579136</v>
          </cell>
          <cell r="AB8">
            <v>11.186059166666666</v>
          </cell>
          <cell r="AC8">
            <v>43.871344576719572</v>
          </cell>
          <cell r="AD8">
            <v>66.81790533225977</v>
          </cell>
          <cell r="AE8">
            <v>81.61658909209946</v>
          </cell>
          <cell r="AF8">
            <v>59.451689744234621</v>
          </cell>
          <cell r="AG8">
            <v>81.731542303338756</v>
          </cell>
          <cell r="AH8">
            <v>74.71433278191563</v>
          </cell>
          <cell r="AI8">
            <v>68.801145847072419</v>
          </cell>
          <cell r="AJ8">
            <v>64.733976706971546</v>
          </cell>
          <cell r="AK8">
            <v>61.354755461339579</v>
          </cell>
          <cell r="AL8">
            <v>3.7649755499999995</v>
          </cell>
          <cell r="AM8">
            <v>45.188756613756617</v>
          </cell>
          <cell r="AN8">
            <v>68.786331111580481</v>
          </cell>
          <cell r="AO8">
            <v>84.01903000273856</v>
          </cell>
          <cell r="AP8">
            <v>3.7289428708333339</v>
          </cell>
          <cell r="AQ8">
            <v>4.125302341666667</v>
          </cell>
          <cell r="AR8">
            <v>4.2659176750000007</v>
          </cell>
          <cell r="AS8">
            <v>4.2905253583333343</v>
          </cell>
          <cell r="AT8">
            <v>4.3177695791666659</v>
          </cell>
          <cell r="AU8">
            <v>3.7649755499999995</v>
          </cell>
          <cell r="AV8">
            <v>81.713775537499842</v>
          </cell>
          <cell r="AW8">
            <v>0.34907756500000003</v>
          </cell>
          <cell r="AX8">
            <v>0.19914646583333337</v>
          </cell>
          <cell r="AY8">
            <v>0.13991225666666671</v>
          </cell>
          <cell r="AZ8">
            <v>0.10809803750000002</v>
          </cell>
          <cell r="BA8">
            <v>8.1996316249999993E-2</v>
          </cell>
          <cell r="BB8">
            <v>19.863750562144141</v>
          </cell>
          <cell r="BC8">
            <v>17.480100494686841</v>
          </cell>
          <cell r="BD8">
            <v>1.4158409953928535</v>
          </cell>
          <cell r="BE8">
            <v>2.5013379697406464</v>
          </cell>
          <cell r="BF8">
            <v>2.7536715116745527</v>
          </cell>
          <cell r="BG8">
            <v>2.1101717792685011</v>
          </cell>
          <cell r="BH8">
            <v>2.7452142214620729</v>
          </cell>
          <cell r="BI8">
            <v>2.646721242617569</v>
          </cell>
          <cell r="BJ8">
            <v>72.396749548828026</v>
          </cell>
          <cell r="BK8">
            <v>65.033919340459917</v>
          </cell>
          <cell r="BL8">
            <v>58.743731662447608</v>
          </cell>
          <cell r="BM8">
            <v>3.9336782321998105</v>
          </cell>
          <cell r="BN8">
            <v>0.28316819907857071</v>
          </cell>
          <cell r="BO8">
            <v>56.943509681167143</v>
          </cell>
          <cell r="BP8">
            <v>72.168333333333337</v>
          </cell>
          <cell r="BQ8">
            <v>72.832499999999996</v>
          </cell>
          <cell r="BR8">
            <v>78.161666666666662</v>
          </cell>
          <cell r="BS8">
            <v>79.321666666666673</v>
          </cell>
          <cell r="BT8">
            <v>75.595833333333346</v>
          </cell>
          <cell r="BU8">
            <v>70.441666666666663</v>
          </cell>
          <cell r="BV8">
            <v>75.595833333333346</v>
          </cell>
          <cell r="BW8">
            <v>79.678333333333327</v>
          </cell>
          <cell r="BX8">
            <v>77.376500564652744</v>
          </cell>
          <cell r="BY8">
            <v>69.678333333333342</v>
          </cell>
          <cell r="BZ8">
            <v>70.703333333333333</v>
          </cell>
          <cell r="CA8">
            <v>78.040000000000006</v>
          </cell>
          <cell r="CB8">
            <v>70.06750000000001</v>
          </cell>
          <cell r="CC8">
            <v>78.012500000000003</v>
          </cell>
          <cell r="CD8">
            <v>0</v>
          </cell>
          <cell r="CE8">
            <v>4.1633333333333331</v>
          </cell>
          <cell r="CF8">
            <v>4.0908333333333333</v>
          </cell>
          <cell r="CG8">
            <v>4.2883333333333331</v>
          </cell>
          <cell r="CH8">
            <v>4.3774999999999986</v>
          </cell>
          <cell r="CI8">
            <v>3.9433333333333338</v>
          </cell>
          <cell r="CJ8">
            <v>6.4808590064272869</v>
          </cell>
          <cell r="CK8">
            <v>8.2225000000000001</v>
          </cell>
          <cell r="CL8">
            <v>2.52</v>
          </cell>
          <cell r="CM8">
            <v>9.3808333333333334</v>
          </cell>
          <cell r="CN8">
            <v>0</v>
          </cell>
          <cell r="CO8">
            <v>1.798416666666667</v>
          </cell>
        </row>
        <row r="9">
          <cell r="A9">
            <v>6</v>
          </cell>
          <cell r="B9">
            <v>2011</v>
          </cell>
          <cell r="C9">
            <v>1.0114999999999998</v>
          </cell>
          <cell r="D9">
            <v>1.3921250000000001</v>
          </cell>
          <cell r="E9">
            <v>1.6036750000000002</v>
          </cell>
          <cell r="F9">
            <v>2.9166666666666674E-2</v>
          </cell>
          <cell r="G9">
            <v>94.884166666666658</v>
          </cell>
          <cell r="H9">
            <v>93.7804498797435</v>
          </cell>
          <cell r="I9">
            <v>4</v>
          </cell>
          <cell r="J9">
            <v>3.9480998081678358</v>
          </cell>
          <cell r="K9">
            <v>95.538333333333341</v>
          </cell>
          <cell r="L9">
            <v>83.388333333333335</v>
          </cell>
          <cell r="M9">
            <v>78.418333333333337</v>
          </cell>
          <cell r="N9">
            <v>77.115833333333327</v>
          </cell>
          <cell r="O9">
            <v>69.594999999999985</v>
          </cell>
          <cell r="P9">
            <v>92.125833333333333</v>
          </cell>
          <cell r="Q9">
            <v>99.259528382426069</v>
          </cell>
          <cell r="R9">
            <v>80.288104053476403</v>
          </cell>
          <cell r="S9">
            <v>3.6316666666666664</v>
          </cell>
          <cell r="T9">
            <v>3.4573795083333327</v>
          </cell>
          <cell r="U9">
            <v>3.3441666666666663</v>
          </cell>
          <cell r="V9">
            <v>4.3409166666666659</v>
          </cell>
          <cell r="W9">
            <v>10.301666666666666</v>
          </cell>
          <cell r="X9">
            <v>52.409920634920638</v>
          </cell>
          <cell r="Y9">
            <v>86.982788694205396</v>
          </cell>
          <cell r="Z9">
            <v>105.23868017825465</v>
          </cell>
          <cell r="AA9">
            <v>75.076176364337115</v>
          </cell>
          <cell r="AB9">
            <v>10.428513333333333</v>
          </cell>
          <cell r="AC9">
            <v>53.026508730158717</v>
          </cell>
          <cell r="AD9">
            <v>87.851591991525893</v>
          </cell>
          <cell r="AE9">
            <v>106.52183873706804</v>
          </cell>
          <cell r="AF9">
            <v>75.914353873019095</v>
          </cell>
          <cell r="AG9">
            <v>93.7804498797435</v>
          </cell>
          <cell r="AH9">
            <v>86.888150133934673</v>
          </cell>
          <cell r="AI9">
            <v>81.304185000908433</v>
          </cell>
          <cell r="AJ9">
            <v>72.943929664313202</v>
          </cell>
          <cell r="AK9">
            <v>68.119157077772158</v>
          </cell>
          <cell r="AL9">
            <v>3.4573795083333327</v>
          </cell>
          <cell r="AM9">
            <v>52.409920634920638</v>
          </cell>
          <cell r="AN9">
            <v>86.982788694205396</v>
          </cell>
          <cell r="AO9">
            <v>105.23868017825465</v>
          </cell>
          <cell r="AP9">
            <v>3.4573795083333327</v>
          </cell>
          <cell r="AQ9">
            <v>3.4582583541666665</v>
          </cell>
          <cell r="AR9">
            <v>3.478471808333333</v>
          </cell>
          <cell r="AS9">
            <v>3.4749564249999998</v>
          </cell>
          <cell r="AT9">
            <v>3.4775929624999997</v>
          </cell>
          <cell r="AU9">
            <v>3.4573795083333327</v>
          </cell>
          <cell r="AV9">
            <v>101.88422240832352</v>
          </cell>
          <cell r="AW9">
            <v>0.16662917000000002</v>
          </cell>
          <cell r="AX9">
            <v>0.16662917000000002</v>
          </cell>
          <cell r="AY9">
            <v>0.16662917000000002</v>
          </cell>
          <cell r="AZ9">
            <v>0.16662917000000002</v>
          </cell>
          <cell r="BA9">
            <v>0.16662917000000002</v>
          </cell>
          <cell r="BB9">
            <v>19.863750562144141</v>
          </cell>
          <cell r="BC9">
            <v>17.480100494686841</v>
          </cell>
          <cell r="BD9">
            <v>1.4158409953928535</v>
          </cell>
          <cell r="BE9">
            <v>1.9306124644977869</v>
          </cell>
          <cell r="BF9">
            <v>2.2838765915232657</v>
          </cell>
          <cell r="BG9">
            <v>1.5447202817334806</v>
          </cell>
          <cell r="BH9">
            <v>2.2880792795445899</v>
          </cell>
          <cell r="BI9">
            <v>2.2958121311144271</v>
          </cell>
          <cell r="BJ9">
            <v>86.142464937831775</v>
          </cell>
          <cell r="BK9">
            <v>74.210972100170508</v>
          </cell>
          <cell r="BL9">
            <v>66.808414390678138</v>
          </cell>
          <cell r="BM9">
            <v>3.5438500114683129</v>
          </cell>
          <cell r="BN9">
            <v>0.28316819907857071</v>
          </cell>
          <cell r="BO9">
            <v>101.60216393634505</v>
          </cell>
          <cell r="BP9">
            <v>98.472500000000011</v>
          </cell>
          <cell r="BQ9">
            <v>103.11166666666664</v>
          </cell>
          <cell r="BR9">
            <v>107.12416666666668</v>
          </cell>
          <cell r="BS9">
            <v>108.02999999999999</v>
          </cell>
          <cell r="BT9">
            <v>105.37416666666665</v>
          </cell>
          <cell r="BU9">
            <v>87.412500000000009</v>
          </cell>
          <cell r="BV9">
            <v>105.37416666666665</v>
          </cell>
          <cell r="BW9">
            <v>111.26416666666667</v>
          </cell>
          <cell r="BX9">
            <v>107.44762346288978</v>
          </cell>
          <cell r="BY9">
            <v>97.878333333333345</v>
          </cell>
          <cell r="BZ9">
            <v>88.27833333333335</v>
          </cell>
          <cell r="CA9">
            <v>106.18916666666668</v>
          </cell>
          <cell r="CB9">
            <v>98.948333333333338</v>
          </cell>
          <cell r="CC9">
            <v>109.19333333333331</v>
          </cell>
          <cell r="CD9">
            <v>0</v>
          </cell>
          <cell r="CE9">
            <v>3.8816666666666664</v>
          </cell>
          <cell r="CF9">
            <v>3.8216666666666668</v>
          </cell>
          <cell r="CG9">
            <v>3.9025000000000012</v>
          </cell>
          <cell r="CH9">
            <v>3.9791666666666661</v>
          </cell>
          <cell r="CI9">
            <v>3.7974999999999999</v>
          </cell>
          <cell r="CJ9">
            <v>9.0348145351025781</v>
          </cell>
          <cell r="CK9">
            <v>10.596666666666666</v>
          </cell>
          <cell r="CL9">
            <v>2.6307812931536545</v>
          </cell>
          <cell r="CM9">
            <v>15.553333333333336</v>
          </cell>
          <cell r="CN9">
            <v>0</v>
          </cell>
          <cell r="CO9">
            <v>2.5115461487160378</v>
          </cell>
        </row>
        <row r="10">
          <cell r="A10">
            <v>7</v>
          </cell>
          <cell r="B10">
            <v>2012</v>
          </cell>
          <cell r="C10">
            <v>1.0008333333333332</v>
          </cell>
          <cell r="D10">
            <v>1.2863499999999999</v>
          </cell>
          <cell r="E10">
            <v>1.5855500000000002</v>
          </cell>
          <cell r="F10">
            <v>1.516666666666667E-2</v>
          </cell>
          <cell r="G10">
            <v>94.11</v>
          </cell>
          <cell r="H10">
            <v>94.01970595657184</v>
          </cell>
          <cell r="I10">
            <v>2.7524999999999999</v>
          </cell>
          <cell r="J10">
            <v>2.7491167767867837</v>
          </cell>
          <cell r="K10">
            <v>86.571666666666658</v>
          </cell>
          <cell r="L10">
            <v>77.533333333333331</v>
          </cell>
          <cell r="M10">
            <v>74.407500000000013</v>
          </cell>
          <cell r="N10">
            <v>73.096666666666664</v>
          </cell>
          <cell r="O10">
            <v>64.06750000000001</v>
          </cell>
          <cell r="P10">
            <v>84.268333333333331</v>
          </cell>
          <cell r="Q10">
            <v>90.357882556847258</v>
          </cell>
          <cell r="R10">
            <v>74.74712080616635</v>
          </cell>
          <cell r="S10">
            <v>2.39</v>
          </cell>
          <cell r="T10">
            <v>2.2524818708333334</v>
          </cell>
          <cell r="U10">
            <v>2.2925</v>
          </cell>
          <cell r="V10">
            <v>3.1054999999999997</v>
          </cell>
          <cell r="W10">
            <v>6.7322407922500007</v>
          </cell>
          <cell r="X10">
            <v>30.795899470899474</v>
          </cell>
          <cell r="Y10">
            <v>75.471573262525212</v>
          </cell>
          <cell r="Z10">
            <v>99.666236020554493</v>
          </cell>
          <cell r="AA10">
            <v>60.206452607899486</v>
          </cell>
          <cell r="AB10">
            <v>6.7418563656875827</v>
          </cell>
          <cell r="AC10">
            <v>30.851387037037032</v>
          </cell>
          <cell r="AD10">
            <v>75.555092800663189</v>
          </cell>
          <cell r="AE10">
            <v>99.753094242637573</v>
          </cell>
          <cell r="AF10">
            <v>60.278025495426299</v>
          </cell>
          <cell r="AG10">
            <v>94.01970595657184</v>
          </cell>
          <cell r="AH10">
            <v>88.922966256519956</v>
          </cell>
          <cell r="AI10">
            <v>81.964456069594121</v>
          </cell>
          <cell r="AJ10">
            <v>76.868821380387644</v>
          </cell>
          <cell r="AK10">
            <v>70.537634921215087</v>
          </cell>
          <cell r="AL10">
            <v>2.2524818708333334</v>
          </cell>
          <cell r="AM10">
            <v>30.795899470899474</v>
          </cell>
          <cell r="AN10">
            <v>75.471573262525212</v>
          </cell>
          <cell r="AO10">
            <v>99.666236020554493</v>
          </cell>
          <cell r="AP10">
            <v>2.2524818708333334</v>
          </cell>
          <cell r="AQ10">
            <v>2.2524818708333334</v>
          </cell>
          <cell r="AR10">
            <v>2.2524818708333334</v>
          </cell>
          <cell r="AS10">
            <v>2.2524818708333334</v>
          </cell>
          <cell r="AT10">
            <v>2.2524818708333334</v>
          </cell>
          <cell r="AU10">
            <v>2.2524818708333334</v>
          </cell>
          <cell r="AV10">
            <v>98.889828223582143</v>
          </cell>
          <cell r="AW10">
            <v>0.15748917333333332</v>
          </cell>
          <cell r="AX10">
            <v>0.15748917333333332</v>
          </cell>
          <cell r="AY10">
            <v>0.15748917333333332</v>
          </cell>
          <cell r="AZ10">
            <v>0.15748917333333332</v>
          </cell>
          <cell r="BA10">
            <v>0.15748917333333332</v>
          </cell>
          <cell r="BB10">
            <v>19.863750562144141</v>
          </cell>
          <cell r="BC10">
            <v>17.480100494686841</v>
          </cell>
          <cell r="BD10">
            <v>1.4160769688920858</v>
          </cell>
          <cell r="BE10">
            <v>0.77976262953765241</v>
          </cell>
          <cell r="BF10">
            <v>1.2443236574759708</v>
          </cell>
          <cell r="BG10">
            <v>0.72582380708316929</v>
          </cell>
          <cell r="BH10">
            <v>1.1842259266915287</v>
          </cell>
          <cell r="BI10">
            <v>1.2186544602294982</v>
          </cell>
          <cell r="BJ10">
            <v>78.779634729463666</v>
          </cell>
          <cell r="BK10">
            <v>70.185251986242648</v>
          </cell>
          <cell r="BL10">
            <v>61.365746736650642</v>
          </cell>
          <cell r="BM10">
            <v>2.2957060915863532</v>
          </cell>
          <cell r="BN10">
            <v>0.28316819907857071</v>
          </cell>
          <cell r="BO10">
            <v>126.80944430626204</v>
          </cell>
          <cell r="BP10">
            <v>98.345000000000013</v>
          </cell>
          <cell r="BQ10">
            <v>103.68916666666668</v>
          </cell>
          <cell r="BR10">
            <v>107.17583333333334</v>
          </cell>
          <cell r="BS10">
            <v>107.18916666666668</v>
          </cell>
          <cell r="BT10">
            <v>104.81833333333334</v>
          </cell>
          <cell r="BU10">
            <v>85.039166666666659</v>
          </cell>
          <cell r="BV10">
            <v>104.81833333333334</v>
          </cell>
          <cell r="BW10">
            <v>111.99083333333333</v>
          </cell>
          <cell r="BX10">
            <v>109.49987681159421</v>
          </cell>
          <cell r="BY10">
            <v>100.10500000000002</v>
          </cell>
          <cell r="BZ10">
            <v>111.60666666666667</v>
          </cell>
          <cell r="CA10">
            <v>109.10833333333333</v>
          </cell>
          <cell r="CB10">
            <v>99.739166666666677</v>
          </cell>
          <cell r="CC10">
            <v>110.49666666666667</v>
          </cell>
          <cell r="CD10">
            <v>55.319166666666668</v>
          </cell>
          <cell r="CE10">
            <v>2.6424999999999996</v>
          </cell>
          <cell r="CF10">
            <v>2.6358333333333337</v>
          </cell>
          <cell r="CG10">
            <v>2.6833333333333331</v>
          </cell>
          <cell r="CH10">
            <v>2.7383333333333333</v>
          </cell>
          <cell r="CI10">
            <v>2.6733333333333333</v>
          </cell>
          <cell r="CJ10">
            <v>9.467870106342934</v>
          </cell>
          <cell r="CK10">
            <v>11.980833333333331</v>
          </cell>
          <cell r="CL10">
            <v>2.7057350645293137</v>
          </cell>
          <cell r="CM10">
            <v>18.145000000000003</v>
          </cell>
          <cell r="CN10">
            <v>0</v>
          </cell>
          <cell r="CO10">
            <v>2.3114444444444442</v>
          </cell>
        </row>
        <row r="11">
          <cell r="A11">
            <v>8</v>
          </cell>
          <cell r="B11">
            <v>2013</v>
          </cell>
          <cell r="C11">
            <v>0.97175</v>
          </cell>
          <cell r="D11">
            <v>1.3285</v>
          </cell>
          <cell r="E11">
            <v>1.5647500000000001</v>
          </cell>
          <cell r="F11">
            <v>9.4166666666666652E-3</v>
          </cell>
          <cell r="G11">
            <v>97.90583333333332</v>
          </cell>
          <cell r="H11">
            <v>100.81292271020287</v>
          </cell>
          <cell r="I11">
            <v>3.7283333333333335</v>
          </cell>
          <cell r="J11">
            <v>3.8400233266122079</v>
          </cell>
          <cell r="K11">
            <v>93.356666666666641</v>
          </cell>
          <cell r="L11">
            <v>82.650833333333324</v>
          </cell>
          <cell r="M11">
            <v>76.288333333333341</v>
          </cell>
          <cell r="N11">
            <v>74.964999999999989</v>
          </cell>
          <cell r="O11">
            <v>65.489999999999995</v>
          </cell>
          <cell r="P11">
            <v>91.762500000000003</v>
          </cell>
          <cell r="Q11">
            <v>97.328385795900033</v>
          </cell>
          <cell r="R11">
            <v>76.898702723876397</v>
          </cell>
          <cell r="S11">
            <v>3.1728333333333332</v>
          </cell>
          <cell r="T11">
            <v>2.980166220833333</v>
          </cell>
          <cell r="U11">
            <v>3.1071201414007361</v>
          </cell>
          <cell r="V11">
            <v>4.1310000000000002</v>
          </cell>
          <cell r="W11">
            <v>8.6760967282787576</v>
          </cell>
          <cell r="X11">
            <v>38.536640211640211</v>
          </cell>
          <cell r="Y11">
            <v>77.435789119287008</v>
          </cell>
          <cell r="Z11">
            <v>103.51900907958799</v>
          </cell>
          <cell r="AA11">
            <v>65.147816102906148</v>
          </cell>
          <cell r="AB11">
            <v>8.4288741558742348</v>
          </cell>
          <cell r="AC11">
            <v>37.319242195767188</v>
          </cell>
          <cell r="AD11">
            <v>75.22049838304882</v>
          </cell>
          <cell r="AE11">
            <v>100.61142464937835</v>
          </cell>
          <cell r="AF11">
            <v>63.243118352037989</v>
          </cell>
          <cell r="AG11">
            <v>100.81292271020287</v>
          </cell>
          <cell r="AH11">
            <v>89.346792481014234</v>
          </cell>
          <cell r="AI11">
            <v>82.482899959266078</v>
          </cell>
          <cell r="AJ11">
            <v>74.403385630615816</v>
          </cell>
          <cell r="AK11">
            <v>67.317720955091502</v>
          </cell>
          <cell r="AL11">
            <v>2.980166220833333</v>
          </cell>
          <cell r="AM11">
            <v>38.536640211640211</v>
          </cell>
          <cell r="AN11">
            <v>77.435789119287008</v>
          </cell>
          <cell r="AO11">
            <v>103.51900907958799</v>
          </cell>
          <cell r="AP11">
            <v>2.980166220833333</v>
          </cell>
          <cell r="AQ11">
            <v>2.980166220833333</v>
          </cell>
          <cell r="AR11">
            <v>2.980166220833333</v>
          </cell>
          <cell r="AS11">
            <v>2.980166220833333</v>
          </cell>
          <cell r="AT11">
            <v>2.980166220833333</v>
          </cell>
          <cell r="AU11">
            <v>2.980166220833333</v>
          </cell>
          <cell r="AV11">
            <v>100.41496699174358</v>
          </cell>
          <cell r="AW11">
            <v>0.17822993499999998</v>
          </cell>
          <cell r="AX11">
            <v>0.17822993499999998</v>
          </cell>
          <cell r="AY11">
            <v>0.17822993499999998</v>
          </cell>
          <cell r="AZ11">
            <v>0.17822993499999998</v>
          </cell>
          <cell r="BA11">
            <v>0.17822993499999998</v>
          </cell>
          <cell r="BB11">
            <v>19.863750562144141</v>
          </cell>
          <cell r="BC11">
            <v>17.480100494686841</v>
          </cell>
          <cell r="BD11">
            <v>1.4186726773836396</v>
          </cell>
          <cell r="BE11">
            <v>1.5361450047713838</v>
          </cell>
          <cell r="BF11">
            <v>1.9976572550996234</v>
          </cell>
          <cell r="BG11">
            <v>1.3853036648572219</v>
          </cell>
          <cell r="BH11">
            <v>1.9064157418865231</v>
          </cell>
          <cell r="BI11">
            <v>1.9034896704960447</v>
          </cell>
          <cell r="BJ11">
            <v>85.20224741122361</v>
          </cell>
          <cell r="BK11">
            <v>71.244652016223668</v>
          </cell>
          <cell r="BL11">
            <v>63.166726787618387</v>
          </cell>
          <cell r="BM11">
            <v>3.0680508041666665</v>
          </cell>
          <cell r="BN11">
            <v>0.28316819907857071</v>
          </cell>
          <cell r="BO11">
            <v>62.172765116476931</v>
          </cell>
          <cell r="BP11">
            <v>95.853333333333339</v>
          </cell>
          <cell r="BQ11">
            <v>101.38</v>
          </cell>
          <cell r="BR11">
            <v>105.80250000000001</v>
          </cell>
          <cell r="BS11">
            <v>106.19166666666668</v>
          </cell>
          <cell r="BT11">
            <v>101.80333333333334</v>
          </cell>
          <cell r="BU11">
            <v>89.967499999999987</v>
          </cell>
          <cell r="BV11">
            <v>101.80333333333334</v>
          </cell>
          <cell r="BW11">
            <v>108.63749999999999</v>
          </cell>
          <cell r="BX11">
            <v>105.5058136183261</v>
          </cell>
          <cell r="BY11">
            <v>96.711666666666659</v>
          </cell>
          <cell r="BZ11">
            <v>111.41166666666665</v>
          </cell>
          <cell r="CA11">
            <v>105.50833333333333</v>
          </cell>
          <cell r="CB11">
            <v>98.060000000000016</v>
          </cell>
          <cell r="CC11">
            <v>108.05333333333334</v>
          </cell>
          <cell r="CD11">
            <v>107.54249999999998</v>
          </cell>
          <cell r="CE11">
            <v>3.6183333333333336</v>
          </cell>
          <cell r="CF11">
            <v>3.6358333333333341</v>
          </cell>
          <cell r="CG11">
            <v>3.6374999999999997</v>
          </cell>
          <cell r="CH11">
            <v>3.6808333333333336</v>
          </cell>
          <cell r="CI11">
            <v>3.6399999999999992</v>
          </cell>
          <cell r="CJ11">
            <v>10.662711415396197</v>
          </cell>
          <cell r="CK11">
            <v>11.189166666666667</v>
          </cell>
          <cell r="CL11">
            <v>2.9050395189538634</v>
          </cell>
          <cell r="CM11">
            <v>17.339166666666667</v>
          </cell>
          <cell r="CN11">
            <v>0</v>
          </cell>
          <cell r="CO11">
            <v>2.0372428498755677</v>
          </cell>
        </row>
        <row r="12">
          <cell r="A12">
            <v>9</v>
          </cell>
          <cell r="B12">
            <v>2014</v>
          </cell>
          <cell r="C12">
            <v>0.90549999999999997</v>
          </cell>
          <cell r="D12">
            <v>1.3289250000000001</v>
          </cell>
          <cell r="E12">
            <v>1.6474583333333335</v>
          </cell>
          <cell r="F12">
            <v>1.9083333333333327E-2</v>
          </cell>
          <cell r="G12">
            <v>93.258333333333326</v>
          </cell>
          <cell r="H12">
            <v>102.77333303104326</v>
          </cell>
          <cell r="I12">
            <v>4.3916666666666666</v>
          </cell>
          <cell r="J12">
            <v>4.8473615236277565</v>
          </cell>
          <cell r="K12">
            <v>93.995532510073588</v>
          </cell>
          <cell r="L12">
            <v>89.391596519817952</v>
          </cell>
          <cell r="M12">
            <v>81.487892764615609</v>
          </cell>
          <cell r="N12">
            <v>81.064024828893665</v>
          </cell>
          <cell r="O12">
            <v>73.695736102922822</v>
          </cell>
          <cell r="P12">
            <v>92.913162207122255</v>
          </cell>
          <cell r="Q12">
            <v>98.186165136900001</v>
          </cell>
          <cell r="R12">
            <v>82.029007558554369</v>
          </cell>
          <cell r="S12">
            <v>4.5044166666666667</v>
          </cell>
          <cell r="T12">
            <v>4.2167023083333346</v>
          </cell>
          <cell r="U12">
            <v>4.1583306505720055</v>
          </cell>
          <cell r="V12">
            <v>5.7607500000000007</v>
          </cell>
          <cell r="W12">
            <v>12.461493011698076</v>
          </cell>
          <cell r="X12">
            <v>42.931481481481484</v>
          </cell>
          <cell r="Y12">
            <v>59.431491718849024</v>
          </cell>
          <cell r="Z12">
            <v>101.47330762169462</v>
          </cell>
          <cell r="AA12">
            <v>60.414850292602743</v>
          </cell>
          <cell r="AB12">
            <v>11.296637332751855</v>
          </cell>
          <cell r="AC12">
            <v>38.966266666666669</v>
          </cell>
          <cell r="AD12">
            <v>53.873615904087195</v>
          </cell>
          <cell r="AE12">
            <v>92.120008570546247</v>
          </cell>
          <cell r="AF12">
            <v>54.814587280539762</v>
          </cell>
          <cell r="AG12">
            <v>102.77333303104326</v>
          </cell>
          <cell r="AH12">
            <v>93.352873966886349</v>
          </cell>
          <cell r="AI12">
            <v>88.061568092142394</v>
          </cell>
          <cell r="AJ12">
            <v>82.176071225582817</v>
          </cell>
          <cell r="AK12">
            <v>76.609453768047558</v>
          </cell>
          <cell r="AL12">
            <v>4.2167023083333346</v>
          </cell>
          <cell r="AM12">
            <v>42.931481481481484</v>
          </cell>
          <cell r="AN12">
            <v>59.431491718849024</v>
          </cell>
          <cell r="AO12">
            <v>101.47330762169462</v>
          </cell>
          <cell r="AP12">
            <v>4.2167023083333346</v>
          </cell>
          <cell r="AQ12">
            <v>4.2167023083333346</v>
          </cell>
          <cell r="AR12">
            <v>4.2167023083333346</v>
          </cell>
          <cell r="AS12">
            <v>4.2167023083333346</v>
          </cell>
          <cell r="AT12">
            <v>4.2167023083333346</v>
          </cell>
          <cell r="AU12">
            <v>4.2167023083333346</v>
          </cell>
          <cell r="AV12">
            <v>97.28086442804846</v>
          </cell>
          <cell r="AW12">
            <v>0.18903973875000002</v>
          </cell>
          <cell r="AX12">
            <v>0.18903973875000002</v>
          </cell>
          <cell r="AY12">
            <v>0.18903973875000002</v>
          </cell>
          <cell r="AZ12">
            <v>0.18903973875000002</v>
          </cell>
          <cell r="BA12">
            <v>0.18903973875000002</v>
          </cell>
          <cell r="BB12">
            <v>19.863750562144141</v>
          </cell>
          <cell r="BC12">
            <v>17.480100494686841</v>
          </cell>
          <cell r="BD12">
            <v>1.4186726773836396</v>
          </cell>
          <cell r="BE12">
            <v>2.3397763537563683</v>
          </cell>
          <cell r="BF12">
            <v>3.1027305909437146</v>
          </cell>
          <cell r="BG12">
            <v>3.5924912288650339</v>
          </cell>
          <cell r="BH12">
            <v>2.9379880521897874</v>
          </cell>
          <cell r="BI12">
            <v>3.1088824200686971</v>
          </cell>
          <cell r="BJ12">
            <v>87.691837481679002</v>
          </cell>
          <cell r="BK12">
            <v>79.375547246327997</v>
          </cell>
          <cell r="BL12">
            <v>71.906777034961792</v>
          </cell>
          <cell r="BM12">
            <v>4.361711870833334</v>
          </cell>
          <cell r="BN12">
            <v>0.28316819907857071</v>
          </cell>
          <cell r="BO12">
            <v>88.993866869117412</v>
          </cell>
          <cell r="BP12">
            <v>86.452500000000001</v>
          </cell>
          <cell r="BQ12">
            <v>90.38</v>
          </cell>
          <cell r="BR12">
            <v>96.157499999999985</v>
          </cell>
          <cell r="BS12">
            <v>94.245833333333323</v>
          </cell>
          <cell r="BT12">
            <v>92.944999999999993</v>
          </cell>
          <cell r="BU12">
            <v>83.49499999999999</v>
          </cell>
          <cell r="BV12">
            <v>92.944999999999993</v>
          </cell>
          <cell r="BW12">
            <v>99.023333333333326</v>
          </cell>
          <cell r="BX12">
            <v>96.189172509254036</v>
          </cell>
          <cell r="BY12">
            <v>86.78749999999998</v>
          </cell>
          <cell r="BZ12">
            <v>100.76999999999998</v>
          </cell>
          <cell r="CA12">
            <v>96.608333333333348</v>
          </cell>
          <cell r="CB12">
            <v>85.805833333333325</v>
          </cell>
          <cell r="CC12">
            <v>98.00833333333334</v>
          </cell>
          <cell r="CD12">
            <v>98.627500000000012</v>
          </cell>
          <cell r="CE12">
            <v>4.2774999999999999</v>
          </cell>
          <cell r="CF12">
            <v>4.28</v>
          </cell>
          <cell r="CG12">
            <v>4.3075000000000001</v>
          </cell>
          <cell r="CH12">
            <v>4.0358333333333336</v>
          </cell>
          <cell r="CI12">
            <v>4.3424999999999994</v>
          </cell>
          <cell r="CJ12">
            <v>8.2400887916431405</v>
          </cell>
          <cell r="CK12">
            <v>10.463333333333335</v>
          </cell>
          <cell r="CL12">
            <v>2.6303772567325598</v>
          </cell>
          <cell r="CM12">
            <v>16.997499999999999</v>
          </cell>
          <cell r="CN12">
            <v>0.84166666666666667</v>
          </cell>
          <cell r="CO12">
            <v>1.9276666666666664</v>
          </cell>
        </row>
        <row r="13">
          <cell r="A13">
            <v>10</v>
          </cell>
          <cell r="B13">
            <v>2015</v>
          </cell>
          <cell r="C13">
            <v>0.78316666666666668</v>
          </cell>
          <cell r="D13">
            <v>1.1100416666666666</v>
          </cell>
          <cell r="E13">
            <v>1.5285250000000001</v>
          </cell>
          <cell r="F13">
            <v>1.1250000000000001E-2</v>
          </cell>
          <cell r="G13">
            <v>48.6875</v>
          </cell>
          <cell r="H13">
            <v>61.999005039728083</v>
          </cell>
          <cell r="I13">
            <v>2.63</v>
          </cell>
          <cell r="J13">
            <v>3.3510039551109476</v>
          </cell>
          <cell r="K13">
            <v>56.997840413038887</v>
          </cell>
          <cell r="L13">
            <v>54.702650248085007</v>
          </cell>
          <cell r="M13">
            <v>45.233309127411935</v>
          </cell>
          <cell r="N13">
            <v>44.797506605479413</v>
          </cell>
          <cell r="O13">
            <v>39.625643635887599</v>
          </cell>
          <cell r="P13">
            <v>55.456548178777858</v>
          </cell>
          <cell r="Q13">
            <v>63.841830698077388</v>
          </cell>
          <cell r="R13">
            <v>44.282071113319937</v>
          </cell>
          <cell r="S13">
            <v>2.6915833333333326</v>
          </cell>
          <cell r="T13">
            <v>2.5556836833333336</v>
          </cell>
          <cell r="U13">
            <v>1.8095820242085254</v>
          </cell>
          <cell r="V13">
            <v>3.7247500000000002</v>
          </cell>
          <cell r="W13">
            <v>7.4898866804369177</v>
          </cell>
          <cell r="X13">
            <v>5.3465608465608474</v>
          </cell>
          <cell r="Y13">
            <v>33.704657740482119</v>
          </cell>
          <cell r="Z13">
            <v>55.147068560662042</v>
          </cell>
          <cell r="AA13">
            <v>25.231996302253531</v>
          </cell>
          <cell r="AB13">
            <v>5.8700724617010112</v>
          </cell>
          <cell r="AC13">
            <v>4.2382280423280418</v>
          </cell>
          <cell r="AD13">
            <v>26.457107650463275</v>
          </cell>
          <cell r="AE13">
            <v>43.295016026073959</v>
          </cell>
          <cell r="AF13">
            <v>19.826193501924557</v>
          </cell>
          <cell r="AG13">
            <v>61.999005039728083</v>
          </cell>
          <cell r="AH13">
            <v>48.589514800083272</v>
          </cell>
          <cell r="AI13">
            <v>43.979667994624613</v>
          </cell>
          <cell r="AJ13">
            <v>38.885542950460881</v>
          </cell>
          <cell r="AK13">
            <v>35.052766066993279</v>
          </cell>
          <cell r="AL13">
            <v>2.5556836833333336</v>
          </cell>
          <cell r="AM13">
            <v>5.3465608465608474</v>
          </cell>
          <cell r="AN13">
            <v>33.704657740482119</v>
          </cell>
          <cell r="AO13">
            <v>55.147068560662042</v>
          </cell>
          <cell r="AP13">
            <v>2.5556836833333336</v>
          </cell>
          <cell r="AQ13">
            <v>2.5556836833333336</v>
          </cell>
          <cell r="AR13">
            <v>2.5556836833333336</v>
          </cell>
          <cell r="AS13">
            <v>2.5556836833333336</v>
          </cell>
          <cell r="AT13">
            <v>2.5556836833333336</v>
          </cell>
          <cell r="AU13">
            <v>2.5556836833333336</v>
          </cell>
          <cell r="AV13">
            <v>55.147068560662042</v>
          </cell>
          <cell r="AW13">
            <v>0.19440069833333332</v>
          </cell>
          <cell r="AX13">
            <v>0.19440069833333332</v>
          </cell>
          <cell r="AY13">
            <v>0.19440069833333332</v>
          </cell>
          <cell r="AZ13">
            <v>0.19440069833333332</v>
          </cell>
          <cell r="BA13">
            <v>0.19440069833333332</v>
          </cell>
          <cell r="BB13">
            <v>19.863750562144141</v>
          </cell>
          <cell r="BC13">
            <v>17.480100494686841</v>
          </cell>
          <cell r="BD13">
            <v>1.4186726773836396</v>
          </cell>
          <cell r="BE13">
            <v>0.74515003667028179</v>
          </cell>
          <cell r="BF13">
            <v>1.153438464246711</v>
          </cell>
          <cell r="BG13">
            <v>0.80209988097496698</v>
          </cell>
          <cell r="BH13">
            <v>1.2463011153995363</v>
          </cell>
          <cell r="BI13">
            <v>1.3554954924342175</v>
          </cell>
          <cell r="BJ13">
            <v>49.685861406109886</v>
          </cell>
          <cell r="BK13">
            <v>42.813003711608012</v>
          </cell>
          <cell r="BL13">
            <v>36.430118530972365</v>
          </cell>
          <cell r="BM13">
            <v>2.6866317125000005</v>
          </cell>
          <cell r="BN13">
            <v>0.28316819907857071</v>
          </cell>
          <cell r="BO13">
            <v>107.45205477225102</v>
          </cell>
          <cell r="BP13">
            <v>41.343333333333327</v>
          </cell>
          <cell r="BQ13">
            <v>44.748333333333335</v>
          </cell>
          <cell r="BR13">
            <v>48.376666666666665</v>
          </cell>
          <cell r="BS13">
            <v>48.321666666666658</v>
          </cell>
          <cell r="BT13">
            <v>46.57</v>
          </cell>
          <cell r="BU13">
            <v>41.590833333333336</v>
          </cell>
          <cell r="BV13">
            <v>46.57</v>
          </cell>
          <cell r="BW13">
            <v>52.386666666666663</v>
          </cell>
          <cell r="BX13">
            <v>49.517233295689813</v>
          </cell>
          <cell r="BY13">
            <v>41.172500000000007</v>
          </cell>
          <cell r="BZ13">
            <v>52.987500000000004</v>
          </cell>
          <cell r="CA13">
            <v>50.962499999999999</v>
          </cell>
          <cell r="CB13">
            <v>44.101666666666667</v>
          </cell>
          <cell r="CC13">
            <v>51.934999999999995</v>
          </cell>
          <cell r="CD13">
            <v>49.234999999999992</v>
          </cell>
          <cell r="CE13">
            <v>2.4341666666666666</v>
          </cell>
          <cell r="CF13">
            <v>2.4533333333333336</v>
          </cell>
          <cell r="CG13">
            <v>2.5133333333333332</v>
          </cell>
          <cell r="CH13">
            <v>2.57</v>
          </cell>
          <cell r="CI13">
            <v>2.4499999999999997</v>
          </cell>
          <cell r="CJ13">
            <v>6.5293850630363783</v>
          </cell>
          <cell r="CK13">
            <v>7.3049999999999997</v>
          </cell>
          <cell r="CL13">
            <v>1.6996830238776868</v>
          </cell>
          <cell r="CM13">
            <v>10.958333333333334</v>
          </cell>
          <cell r="CN13">
            <v>4.5475000000000003</v>
          </cell>
          <cell r="CO13">
            <v>1.4966666666666668</v>
          </cell>
        </row>
        <row r="14">
          <cell r="A14">
            <v>11</v>
          </cell>
          <cell r="B14">
            <v>2016</v>
          </cell>
          <cell r="C14">
            <v>0.75416666666666676</v>
          </cell>
          <cell r="D14">
            <v>1.1076916666666665</v>
          </cell>
          <cell r="E14">
            <v>1.3562166666666666</v>
          </cell>
          <cell r="F14">
            <v>1.55E-2</v>
          </cell>
          <cell r="G14">
            <v>42.977499999999999</v>
          </cell>
          <cell r="H14">
            <v>56.878874445735697</v>
          </cell>
          <cell r="I14">
            <v>2.5029166666666671</v>
          </cell>
          <cell r="J14">
            <v>3.3213433366444174</v>
          </cell>
          <cell r="K14">
            <v>52.244886948862103</v>
          </cell>
          <cell r="L14">
            <v>48.470251102740029</v>
          </cell>
          <cell r="M14">
            <v>39.130019196002614</v>
          </cell>
          <cell r="N14">
            <v>38.798393209149097</v>
          </cell>
          <cell r="O14">
            <v>34.011223066785519</v>
          </cell>
          <cell r="P14">
            <v>51.283718309397756</v>
          </cell>
          <cell r="Q14">
            <v>58.57624958614204</v>
          </cell>
          <cell r="R14">
            <v>39.470182963508456</v>
          </cell>
          <cell r="S14">
            <v>2.196372948500283</v>
          </cell>
          <cell r="T14">
            <v>1.9637883110002832</v>
          </cell>
          <cell r="U14">
            <v>1.7653536945368558</v>
          </cell>
          <cell r="V14">
            <v>3.4392062818336164</v>
          </cell>
          <cell r="W14">
            <v>6.1375113994085657</v>
          </cell>
          <cell r="X14">
            <v>8.225205456785055</v>
          </cell>
          <cell r="Y14">
            <v>30.751517050193787</v>
          </cell>
          <cell r="Z14">
            <v>52.207756055861978</v>
          </cell>
          <cell r="AA14">
            <v>24.905924634293495</v>
          </cell>
          <cell r="AB14">
            <v>4.6109301686151198</v>
          </cell>
          <cell r="AC14">
            <v>6.212362163714082</v>
          </cell>
          <cell r="AD14">
            <v>23.211068098670598</v>
          </cell>
          <cell r="AE14">
            <v>39.418132325793884</v>
          </cell>
          <cell r="AF14">
            <v>18.803063273364824</v>
          </cell>
          <cell r="AG14">
            <v>56.878874445735697</v>
          </cell>
          <cell r="AH14">
            <v>45.532351163565544</v>
          </cell>
          <cell r="AI14">
            <v>39.749880949921632</v>
          </cell>
          <cell r="AJ14">
            <v>33.829423882372694</v>
          </cell>
          <cell r="AK14">
            <v>27.440712001572155</v>
          </cell>
          <cell r="AL14">
            <v>1.9637883110002832</v>
          </cell>
          <cell r="AM14">
            <v>8.225205456785055</v>
          </cell>
          <cell r="AN14">
            <v>30.751517050193787</v>
          </cell>
          <cell r="AO14">
            <v>52.207756055861978</v>
          </cell>
          <cell r="AP14">
            <v>1.9637883110002832</v>
          </cell>
          <cell r="AQ14">
            <v>1.9637883110002832</v>
          </cell>
          <cell r="AR14">
            <v>1.9637883110002832</v>
          </cell>
          <cell r="AS14">
            <v>1.9637883110002832</v>
          </cell>
          <cell r="AT14">
            <v>1.9637883110002832</v>
          </cell>
          <cell r="AU14">
            <v>1.9637883110002832</v>
          </cell>
          <cell r="AV14">
            <v>52.207756055861978</v>
          </cell>
          <cell r="AW14">
            <v>0.1962462745833333</v>
          </cell>
          <cell r="AX14">
            <v>0.1962462745833333</v>
          </cell>
          <cell r="AY14">
            <v>0.1962462745833333</v>
          </cell>
          <cell r="AZ14">
            <v>0.1962462745833333</v>
          </cell>
          <cell r="BA14">
            <v>0.1962462745833333</v>
          </cell>
          <cell r="BB14">
            <v>14.897812921608107</v>
          </cell>
          <cell r="BC14">
            <v>13.11007537101513</v>
          </cell>
          <cell r="BD14">
            <v>1.4186726773836396</v>
          </cell>
          <cell r="BE14">
            <v>0.45750708217338659</v>
          </cell>
          <cell r="BF14">
            <v>0.80949873268077732</v>
          </cell>
          <cell r="BG14">
            <v>0.33716010060437895</v>
          </cell>
          <cell r="BH14">
            <v>0.97212535499816488</v>
          </cell>
          <cell r="BI14">
            <v>0.9300787762609154</v>
          </cell>
          <cell r="BJ14">
            <v>43.909246693040792</v>
          </cell>
          <cell r="BK14">
            <v>37.386594121052013</v>
          </cell>
          <cell r="BL14">
            <v>31.473096566302303</v>
          </cell>
          <cell r="BM14">
            <v>2.2260369943336165</v>
          </cell>
          <cell r="BN14">
            <v>0.29732660903249925</v>
          </cell>
          <cell r="BO14">
            <v>48.394826112354757</v>
          </cell>
          <cell r="BP14">
            <v>32.822500000000005</v>
          </cell>
          <cell r="BQ14">
            <v>36.922499999999992</v>
          </cell>
          <cell r="BR14">
            <v>40.43</v>
          </cell>
          <cell r="BS14">
            <v>40.206666666666671</v>
          </cell>
          <cell r="BT14">
            <v>36.496666666666663</v>
          </cell>
          <cell r="BU14">
            <v>38.443333333333335</v>
          </cell>
          <cell r="BV14">
            <v>36.496666666666663</v>
          </cell>
          <cell r="BW14">
            <v>43.32500000000001</v>
          </cell>
          <cell r="BX14">
            <v>40.6331433198444</v>
          </cell>
          <cell r="BY14">
            <v>33.749166666666675</v>
          </cell>
          <cell r="BZ14">
            <v>43.774166666666666</v>
          </cell>
          <cell r="CA14">
            <v>41.140833333333333</v>
          </cell>
          <cell r="CB14">
            <v>36.291666666666664</v>
          </cell>
          <cell r="CC14">
            <v>41.839166666666664</v>
          </cell>
          <cell r="CD14">
            <v>40.760833333333331</v>
          </cell>
          <cell r="CE14">
            <v>2.2495833333333328</v>
          </cell>
          <cell r="CF14">
            <v>2.2570833333333336</v>
          </cell>
          <cell r="CG14">
            <v>2.407083333333333</v>
          </cell>
          <cell r="CH14">
            <v>2.3920833333333333</v>
          </cell>
          <cell r="CI14">
            <v>2.2445833333333334</v>
          </cell>
          <cell r="CJ14">
            <v>4.6568258665478375</v>
          </cell>
          <cell r="CK14">
            <v>4.3077779398512517</v>
          </cell>
          <cell r="CL14">
            <v>1.5436603539036151</v>
          </cell>
          <cell r="CM14">
            <v>7.4802779398512511</v>
          </cell>
          <cell r="CN14">
            <v>3.1099999999999994</v>
          </cell>
          <cell r="CO14">
            <v>1.5355302598971077</v>
          </cell>
        </row>
      </sheetData>
      <sheetData sheetId="10"/>
      <sheetData sheetId="11"/>
      <sheetData sheetId="12">
        <row r="74">
          <cell r="F74">
            <v>42264</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400"/>
    <pageSetUpPr fitToPage="1"/>
  </sheetPr>
  <dimension ref="A1:W60"/>
  <sheetViews>
    <sheetView zoomScale="85" zoomScaleNormal="85" workbookViewId="0">
      <selection activeCell="C56" sqref="C56"/>
    </sheetView>
  </sheetViews>
  <sheetFormatPr defaultRowHeight="12.75" x14ac:dyDescent="0.2"/>
  <cols>
    <col min="1" max="1" width="3.5703125" customWidth="1"/>
    <col min="2" max="2" width="10" bestFit="1" customWidth="1"/>
    <col min="3" max="3" width="8.42578125" customWidth="1"/>
    <col min="4" max="4" width="8.42578125" bestFit="1" customWidth="1"/>
    <col min="5" max="5" width="11.5703125" bestFit="1" customWidth="1"/>
    <col min="6" max="7" width="10.28515625" bestFit="1" customWidth="1"/>
    <col min="8" max="8" width="10.140625" bestFit="1" customWidth="1"/>
    <col min="9" max="9" width="10.140625" customWidth="1"/>
    <col min="10" max="10" width="13.140625" bestFit="1" customWidth="1"/>
    <col min="11" max="12" width="11.42578125" bestFit="1" customWidth="1"/>
    <col min="13" max="13" width="7.7109375" bestFit="1" customWidth="1"/>
    <col min="14" max="14" width="8.7109375" bestFit="1" customWidth="1"/>
    <col min="15" max="15" width="7.7109375" bestFit="1" customWidth="1"/>
    <col min="16" max="16" width="11.7109375" bestFit="1" customWidth="1"/>
    <col min="17" max="17" width="10.28515625" bestFit="1" customWidth="1"/>
    <col min="18" max="19" width="8.5703125" bestFit="1" customWidth="1"/>
    <col min="20" max="20" width="7.7109375" bestFit="1" customWidth="1"/>
    <col min="21" max="22" width="8.28515625" bestFit="1" customWidth="1"/>
    <col min="23" max="23" width="10.5703125" bestFit="1" customWidth="1"/>
    <col min="257" max="257" width="4.7109375" customWidth="1"/>
    <col min="261" max="261" width="11.42578125" customWidth="1"/>
    <col min="262" max="262" width="10.5703125" customWidth="1"/>
    <col min="263" max="264" width="9.85546875" customWidth="1"/>
    <col min="265" max="265" width="10.140625" customWidth="1"/>
    <col min="266" max="266" width="11.5703125" customWidth="1"/>
    <col min="267" max="267" width="11.140625" customWidth="1"/>
    <col min="268" max="268" width="11.28515625" customWidth="1"/>
    <col min="272" max="272" width="10.7109375" customWidth="1"/>
    <col min="273" max="273" width="10.42578125" customWidth="1"/>
    <col min="279" max="279" width="10.28515625" customWidth="1"/>
    <col min="513" max="513" width="4.7109375" customWidth="1"/>
    <col min="517" max="517" width="11.42578125" customWidth="1"/>
    <col min="518" max="518" width="10.5703125" customWidth="1"/>
    <col min="519" max="520" width="9.85546875" customWidth="1"/>
    <col min="521" max="521" width="10.140625" customWidth="1"/>
    <col min="522" max="522" width="11.5703125" customWidth="1"/>
    <col min="523" max="523" width="11.140625" customWidth="1"/>
    <col min="524" max="524" width="11.28515625" customWidth="1"/>
    <col min="528" max="528" width="10.7109375" customWidth="1"/>
    <col min="529" max="529" width="10.42578125" customWidth="1"/>
    <col min="535" max="535" width="10.28515625" customWidth="1"/>
    <col min="769" max="769" width="4.7109375" customWidth="1"/>
    <col min="773" max="773" width="11.42578125" customWidth="1"/>
    <col min="774" max="774" width="10.5703125" customWidth="1"/>
    <col min="775" max="776" width="9.85546875" customWidth="1"/>
    <col min="777" max="777" width="10.140625" customWidth="1"/>
    <col min="778" max="778" width="11.5703125" customWidth="1"/>
    <col min="779" max="779" width="11.140625" customWidth="1"/>
    <col min="780" max="780" width="11.28515625" customWidth="1"/>
    <col min="784" max="784" width="10.7109375" customWidth="1"/>
    <col min="785" max="785" width="10.42578125" customWidth="1"/>
    <col min="791" max="791" width="10.28515625" customWidth="1"/>
    <col min="1025" max="1025" width="4.7109375" customWidth="1"/>
    <col min="1029" max="1029" width="11.42578125" customWidth="1"/>
    <col min="1030" max="1030" width="10.5703125" customWidth="1"/>
    <col min="1031" max="1032" width="9.85546875" customWidth="1"/>
    <col min="1033" max="1033" width="10.140625" customWidth="1"/>
    <col min="1034" max="1034" width="11.5703125" customWidth="1"/>
    <col min="1035" max="1035" width="11.140625" customWidth="1"/>
    <col min="1036" max="1036" width="11.28515625" customWidth="1"/>
    <col min="1040" max="1040" width="10.7109375" customWidth="1"/>
    <col min="1041" max="1041" width="10.42578125" customWidth="1"/>
    <col min="1047" max="1047" width="10.28515625" customWidth="1"/>
    <col min="1281" max="1281" width="4.7109375" customWidth="1"/>
    <col min="1285" max="1285" width="11.42578125" customWidth="1"/>
    <col min="1286" max="1286" width="10.5703125" customWidth="1"/>
    <col min="1287" max="1288" width="9.85546875" customWidth="1"/>
    <col min="1289" max="1289" width="10.140625" customWidth="1"/>
    <col min="1290" max="1290" width="11.5703125" customWidth="1"/>
    <col min="1291" max="1291" width="11.140625" customWidth="1"/>
    <col min="1292" max="1292" width="11.28515625" customWidth="1"/>
    <col min="1296" max="1296" width="10.7109375" customWidth="1"/>
    <col min="1297" max="1297" width="10.42578125" customWidth="1"/>
    <col min="1303" max="1303" width="10.28515625" customWidth="1"/>
    <col min="1537" max="1537" width="4.7109375" customWidth="1"/>
    <col min="1541" max="1541" width="11.42578125" customWidth="1"/>
    <col min="1542" max="1542" width="10.5703125" customWidth="1"/>
    <col min="1543" max="1544" width="9.85546875" customWidth="1"/>
    <col min="1545" max="1545" width="10.140625" customWidth="1"/>
    <col min="1546" max="1546" width="11.5703125" customWidth="1"/>
    <col min="1547" max="1547" width="11.140625" customWidth="1"/>
    <col min="1548" max="1548" width="11.28515625" customWidth="1"/>
    <col min="1552" max="1552" width="10.7109375" customWidth="1"/>
    <col min="1553" max="1553" width="10.42578125" customWidth="1"/>
    <col min="1559" max="1559" width="10.28515625" customWidth="1"/>
    <col min="1793" max="1793" width="4.7109375" customWidth="1"/>
    <col min="1797" max="1797" width="11.42578125" customWidth="1"/>
    <col min="1798" max="1798" width="10.5703125" customWidth="1"/>
    <col min="1799" max="1800" width="9.85546875" customWidth="1"/>
    <col min="1801" max="1801" width="10.140625" customWidth="1"/>
    <col min="1802" max="1802" width="11.5703125" customWidth="1"/>
    <col min="1803" max="1803" width="11.140625" customWidth="1"/>
    <col min="1804" max="1804" width="11.28515625" customWidth="1"/>
    <col min="1808" max="1808" width="10.7109375" customWidth="1"/>
    <col min="1809" max="1809" width="10.42578125" customWidth="1"/>
    <col min="1815" max="1815" width="10.28515625" customWidth="1"/>
    <col min="2049" max="2049" width="4.7109375" customWidth="1"/>
    <col min="2053" max="2053" width="11.42578125" customWidth="1"/>
    <col min="2054" max="2054" width="10.5703125" customWidth="1"/>
    <col min="2055" max="2056" width="9.85546875" customWidth="1"/>
    <col min="2057" max="2057" width="10.140625" customWidth="1"/>
    <col min="2058" max="2058" width="11.5703125" customWidth="1"/>
    <col min="2059" max="2059" width="11.140625" customWidth="1"/>
    <col min="2060" max="2060" width="11.28515625" customWidth="1"/>
    <col min="2064" max="2064" width="10.7109375" customWidth="1"/>
    <col min="2065" max="2065" width="10.42578125" customWidth="1"/>
    <col min="2071" max="2071" width="10.28515625" customWidth="1"/>
    <col min="2305" max="2305" width="4.7109375" customWidth="1"/>
    <col min="2309" max="2309" width="11.42578125" customWidth="1"/>
    <col min="2310" max="2310" width="10.5703125" customWidth="1"/>
    <col min="2311" max="2312" width="9.85546875" customWidth="1"/>
    <col min="2313" max="2313" width="10.140625" customWidth="1"/>
    <col min="2314" max="2314" width="11.5703125" customWidth="1"/>
    <col min="2315" max="2315" width="11.140625" customWidth="1"/>
    <col min="2316" max="2316" width="11.28515625" customWidth="1"/>
    <col min="2320" max="2320" width="10.7109375" customWidth="1"/>
    <col min="2321" max="2321" width="10.42578125" customWidth="1"/>
    <col min="2327" max="2327" width="10.28515625" customWidth="1"/>
    <col min="2561" max="2561" width="4.7109375" customWidth="1"/>
    <col min="2565" max="2565" width="11.42578125" customWidth="1"/>
    <col min="2566" max="2566" width="10.5703125" customWidth="1"/>
    <col min="2567" max="2568" width="9.85546875" customWidth="1"/>
    <col min="2569" max="2569" width="10.140625" customWidth="1"/>
    <col min="2570" max="2570" width="11.5703125" customWidth="1"/>
    <col min="2571" max="2571" width="11.140625" customWidth="1"/>
    <col min="2572" max="2572" width="11.28515625" customWidth="1"/>
    <col min="2576" max="2576" width="10.7109375" customWidth="1"/>
    <col min="2577" max="2577" width="10.42578125" customWidth="1"/>
    <col min="2583" max="2583" width="10.28515625" customWidth="1"/>
    <col min="2817" max="2817" width="4.7109375" customWidth="1"/>
    <col min="2821" max="2821" width="11.42578125" customWidth="1"/>
    <col min="2822" max="2822" width="10.5703125" customWidth="1"/>
    <col min="2823" max="2824" width="9.85546875" customWidth="1"/>
    <col min="2825" max="2825" width="10.140625" customWidth="1"/>
    <col min="2826" max="2826" width="11.5703125" customWidth="1"/>
    <col min="2827" max="2827" width="11.140625" customWidth="1"/>
    <col min="2828" max="2828" width="11.28515625" customWidth="1"/>
    <col min="2832" max="2832" width="10.7109375" customWidth="1"/>
    <col min="2833" max="2833" width="10.42578125" customWidth="1"/>
    <col min="2839" max="2839" width="10.28515625" customWidth="1"/>
    <col min="3073" max="3073" width="4.7109375" customWidth="1"/>
    <col min="3077" max="3077" width="11.42578125" customWidth="1"/>
    <col min="3078" max="3078" width="10.5703125" customWidth="1"/>
    <col min="3079" max="3080" width="9.85546875" customWidth="1"/>
    <col min="3081" max="3081" width="10.140625" customWidth="1"/>
    <col min="3082" max="3082" width="11.5703125" customWidth="1"/>
    <col min="3083" max="3083" width="11.140625" customWidth="1"/>
    <col min="3084" max="3084" width="11.28515625" customWidth="1"/>
    <col min="3088" max="3088" width="10.7109375" customWidth="1"/>
    <col min="3089" max="3089" width="10.42578125" customWidth="1"/>
    <col min="3095" max="3095" width="10.28515625" customWidth="1"/>
    <col min="3329" max="3329" width="4.7109375" customWidth="1"/>
    <col min="3333" max="3333" width="11.42578125" customWidth="1"/>
    <col min="3334" max="3334" width="10.5703125" customWidth="1"/>
    <col min="3335" max="3336" width="9.85546875" customWidth="1"/>
    <col min="3337" max="3337" width="10.140625" customWidth="1"/>
    <col min="3338" max="3338" width="11.5703125" customWidth="1"/>
    <col min="3339" max="3339" width="11.140625" customWidth="1"/>
    <col min="3340" max="3340" width="11.28515625" customWidth="1"/>
    <col min="3344" max="3344" width="10.7109375" customWidth="1"/>
    <col min="3345" max="3345" width="10.42578125" customWidth="1"/>
    <col min="3351" max="3351" width="10.28515625" customWidth="1"/>
    <col min="3585" max="3585" width="4.7109375" customWidth="1"/>
    <col min="3589" max="3589" width="11.42578125" customWidth="1"/>
    <col min="3590" max="3590" width="10.5703125" customWidth="1"/>
    <col min="3591" max="3592" width="9.85546875" customWidth="1"/>
    <col min="3593" max="3593" width="10.140625" customWidth="1"/>
    <col min="3594" max="3594" width="11.5703125" customWidth="1"/>
    <col min="3595" max="3595" width="11.140625" customWidth="1"/>
    <col min="3596" max="3596" width="11.28515625" customWidth="1"/>
    <col min="3600" max="3600" width="10.7109375" customWidth="1"/>
    <col min="3601" max="3601" width="10.42578125" customWidth="1"/>
    <col min="3607" max="3607" width="10.28515625" customWidth="1"/>
    <col min="3841" max="3841" width="4.7109375" customWidth="1"/>
    <col min="3845" max="3845" width="11.42578125" customWidth="1"/>
    <col min="3846" max="3846" width="10.5703125" customWidth="1"/>
    <col min="3847" max="3848" width="9.85546875" customWidth="1"/>
    <col min="3849" max="3849" width="10.140625" customWidth="1"/>
    <col min="3850" max="3850" width="11.5703125" customWidth="1"/>
    <col min="3851" max="3851" width="11.140625" customWidth="1"/>
    <col min="3852" max="3852" width="11.28515625" customWidth="1"/>
    <col min="3856" max="3856" width="10.7109375" customWidth="1"/>
    <col min="3857" max="3857" width="10.42578125" customWidth="1"/>
    <col min="3863" max="3863" width="10.28515625" customWidth="1"/>
    <col min="4097" max="4097" width="4.7109375" customWidth="1"/>
    <col min="4101" max="4101" width="11.42578125" customWidth="1"/>
    <col min="4102" max="4102" width="10.5703125" customWidth="1"/>
    <col min="4103" max="4104" width="9.85546875" customWidth="1"/>
    <col min="4105" max="4105" width="10.140625" customWidth="1"/>
    <col min="4106" max="4106" width="11.5703125" customWidth="1"/>
    <col min="4107" max="4107" width="11.140625" customWidth="1"/>
    <col min="4108" max="4108" width="11.28515625" customWidth="1"/>
    <col min="4112" max="4112" width="10.7109375" customWidth="1"/>
    <col min="4113" max="4113" width="10.42578125" customWidth="1"/>
    <col min="4119" max="4119" width="10.28515625" customWidth="1"/>
    <col min="4353" max="4353" width="4.7109375" customWidth="1"/>
    <col min="4357" max="4357" width="11.42578125" customWidth="1"/>
    <col min="4358" max="4358" width="10.5703125" customWidth="1"/>
    <col min="4359" max="4360" width="9.85546875" customWidth="1"/>
    <col min="4361" max="4361" width="10.140625" customWidth="1"/>
    <col min="4362" max="4362" width="11.5703125" customWidth="1"/>
    <col min="4363" max="4363" width="11.140625" customWidth="1"/>
    <col min="4364" max="4364" width="11.28515625" customWidth="1"/>
    <col min="4368" max="4368" width="10.7109375" customWidth="1"/>
    <col min="4369" max="4369" width="10.42578125" customWidth="1"/>
    <col min="4375" max="4375" width="10.28515625" customWidth="1"/>
    <col min="4609" max="4609" width="4.7109375" customWidth="1"/>
    <col min="4613" max="4613" width="11.42578125" customWidth="1"/>
    <col min="4614" max="4614" width="10.5703125" customWidth="1"/>
    <col min="4615" max="4616" width="9.85546875" customWidth="1"/>
    <col min="4617" max="4617" width="10.140625" customWidth="1"/>
    <col min="4618" max="4618" width="11.5703125" customWidth="1"/>
    <col min="4619" max="4619" width="11.140625" customWidth="1"/>
    <col min="4620" max="4620" width="11.28515625" customWidth="1"/>
    <col min="4624" max="4624" width="10.7109375" customWidth="1"/>
    <col min="4625" max="4625" width="10.42578125" customWidth="1"/>
    <col min="4631" max="4631" width="10.28515625" customWidth="1"/>
    <col min="4865" max="4865" width="4.7109375" customWidth="1"/>
    <col min="4869" max="4869" width="11.42578125" customWidth="1"/>
    <col min="4870" max="4870" width="10.5703125" customWidth="1"/>
    <col min="4871" max="4872" width="9.85546875" customWidth="1"/>
    <col min="4873" max="4873" width="10.140625" customWidth="1"/>
    <col min="4874" max="4874" width="11.5703125" customWidth="1"/>
    <col min="4875" max="4875" width="11.140625" customWidth="1"/>
    <col min="4876" max="4876" width="11.28515625" customWidth="1"/>
    <col min="4880" max="4880" width="10.7109375" customWidth="1"/>
    <col min="4881" max="4881" width="10.42578125" customWidth="1"/>
    <col min="4887" max="4887" width="10.28515625" customWidth="1"/>
    <col min="5121" max="5121" width="4.7109375" customWidth="1"/>
    <col min="5125" max="5125" width="11.42578125" customWidth="1"/>
    <col min="5126" max="5126" width="10.5703125" customWidth="1"/>
    <col min="5127" max="5128" width="9.85546875" customWidth="1"/>
    <col min="5129" max="5129" width="10.140625" customWidth="1"/>
    <col min="5130" max="5130" width="11.5703125" customWidth="1"/>
    <col min="5131" max="5131" width="11.140625" customWidth="1"/>
    <col min="5132" max="5132" width="11.28515625" customWidth="1"/>
    <col min="5136" max="5136" width="10.7109375" customWidth="1"/>
    <col min="5137" max="5137" width="10.42578125" customWidth="1"/>
    <col min="5143" max="5143" width="10.28515625" customWidth="1"/>
    <col min="5377" max="5377" width="4.7109375" customWidth="1"/>
    <col min="5381" max="5381" width="11.42578125" customWidth="1"/>
    <col min="5382" max="5382" width="10.5703125" customWidth="1"/>
    <col min="5383" max="5384" width="9.85546875" customWidth="1"/>
    <col min="5385" max="5385" width="10.140625" customWidth="1"/>
    <col min="5386" max="5386" width="11.5703125" customWidth="1"/>
    <col min="5387" max="5387" width="11.140625" customWidth="1"/>
    <col min="5388" max="5388" width="11.28515625" customWidth="1"/>
    <col min="5392" max="5392" width="10.7109375" customWidth="1"/>
    <col min="5393" max="5393" width="10.42578125" customWidth="1"/>
    <col min="5399" max="5399" width="10.28515625" customWidth="1"/>
    <col min="5633" max="5633" width="4.7109375" customWidth="1"/>
    <col min="5637" max="5637" width="11.42578125" customWidth="1"/>
    <col min="5638" max="5638" width="10.5703125" customWidth="1"/>
    <col min="5639" max="5640" width="9.85546875" customWidth="1"/>
    <col min="5641" max="5641" width="10.140625" customWidth="1"/>
    <col min="5642" max="5642" width="11.5703125" customWidth="1"/>
    <col min="5643" max="5643" width="11.140625" customWidth="1"/>
    <col min="5644" max="5644" width="11.28515625" customWidth="1"/>
    <col min="5648" max="5648" width="10.7109375" customWidth="1"/>
    <col min="5649" max="5649" width="10.42578125" customWidth="1"/>
    <col min="5655" max="5655" width="10.28515625" customWidth="1"/>
    <col min="5889" max="5889" width="4.7109375" customWidth="1"/>
    <col min="5893" max="5893" width="11.42578125" customWidth="1"/>
    <col min="5894" max="5894" width="10.5703125" customWidth="1"/>
    <col min="5895" max="5896" width="9.85546875" customWidth="1"/>
    <col min="5897" max="5897" width="10.140625" customWidth="1"/>
    <col min="5898" max="5898" width="11.5703125" customWidth="1"/>
    <col min="5899" max="5899" width="11.140625" customWidth="1"/>
    <col min="5900" max="5900" width="11.28515625" customWidth="1"/>
    <col min="5904" max="5904" width="10.7109375" customWidth="1"/>
    <col min="5905" max="5905" width="10.42578125" customWidth="1"/>
    <col min="5911" max="5911" width="10.28515625" customWidth="1"/>
    <col min="6145" max="6145" width="4.7109375" customWidth="1"/>
    <col min="6149" max="6149" width="11.42578125" customWidth="1"/>
    <col min="6150" max="6150" width="10.5703125" customWidth="1"/>
    <col min="6151" max="6152" width="9.85546875" customWidth="1"/>
    <col min="6153" max="6153" width="10.140625" customWidth="1"/>
    <col min="6154" max="6154" width="11.5703125" customWidth="1"/>
    <col min="6155" max="6155" width="11.140625" customWidth="1"/>
    <col min="6156" max="6156" width="11.28515625" customWidth="1"/>
    <col min="6160" max="6160" width="10.7109375" customWidth="1"/>
    <col min="6161" max="6161" width="10.42578125" customWidth="1"/>
    <col min="6167" max="6167" width="10.28515625" customWidth="1"/>
    <col min="6401" max="6401" width="4.7109375" customWidth="1"/>
    <col min="6405" max="6405" width="11.42578125" customWidth="1"/>
    <col min="6406" max="6406" width="10.5703125" customWidth="1"/>
    <col min="6407" max="6408" width="9.85546875" customWidth="1"/>
    <col min="6409" max="6409" width="10.140625" customWidth="1"/>
    <col min="6410" max="6410" width="11.5703125" customWidth="1"/>
    <col min="6411" max="6411" width="11.140625" customWidth="1"/>
    <col min="6412" max="6412" width="11.28515625" customWidth="1"/>
    <col min="6416" max="6416" width="10.7109375" customWidth="1"/>
    <col min="6417" max="6417" width="10.42578125" customWidth="1"/>
    <col min="6423" max="6423" width="10.28515625" customWidth="1"/>
    <col min="6657" max="6657" width="4.7109375" customWidth="1"/>
    <col min="6661" max="6661" width="11.42578125" customWidth="1"/>
    <col min="6662" max="6662" width="10.5703125" customWidth="1"/>
    <col min="6663" max="6664" width="9.85546875" customWidth="1"/>
    <col min="6665" max="6665" width="10.140625" customWidth="1"/>
    <col min="6666" max="6666" width="11.5703125" customWidth="1"/>
    <col min="6667" max="6667" width="11.140625" customWidth="1"/>
    <col min="6668" max="6668" width="11.28515625" customWidth="1"/>
    <col min="6672" max="6672" width="10.7109375" customWidth="1"/>
    <col min="6673" max="6673" width="10.42578125" customWidth="1"/>
    <col min="6679" max="6679" width="10.28515625" customWidth="1"/>
    <col min="6913" max="6913" width="4.7109375" customWidth="1"/>
    <col min="6917" max="6917" width="11.42578125" customWidth="1"/>
    <col min="6918" max="6918" width="10.5703125" customWidth="1"/>
    <col min="6919" max="6920" width="9.85546875" customWidth="1"/>
    <col min="6921" max="6921" width="10.140625" customWidth="1"/>
    <col min="6922" max="6922" width="11.5703125" customWidth="1"/>
    <col min="6923" max="6923" width="11.140625" customWidth="1"/>
    <col min="6924" max="6924" width="11.28515625" customWidth="1"/>
    <col min="6928" max="6928" width="10.7109375" customWidth="1"/>
    <col min="6929" max="6929" width="10.42578125" customWidth="1"/>
    <col min="6935" max="6935" width="10.28515625" customWidth="1"/>
    <col min="7169" max="7169" width="4.7109375" customWidth="1"/>
    <col min="7173" max="7173" width="11.42578125" customWidth="1"/>
    <col min="7174" max="7174" width="10.5703125" customWidth="1"/>
    <col min="7175" max="7176" width="9.85546875" customWidth="1"/>
    <col min="7177" max="7177" width="10.140625" customWidth="1"/>
    <col min="7178" max="7178" width="11.5703125" customWidth="1"/>
    <col min="7179" max="7179" width="11.140625" customWidth="1"/>
    <col min="7180" max="7180" width="11.28515625" customWidth="1"/>
    <col min="7184" max="7184" width="10.7109375" customWidth="1"/>
    <col min="7185" max="7185" width="10.42578125" customWidth="1"/>
    <col min="7191" max="7191" width="10.28515625" customWidth="1"/>
    <col min="7425" max="7425" width="4.7109375" customWidth="1"/>
    <col min="7429" max="7429" width="11.42578125" customWidth="1"/>
    <col min="7430" max="7430" width="10.5703125" customWidth="1"/>
    <col min="7431" max="7432" width="9.85546875" customWidth="1"/>
    <col min="7433" max="7433" width="10.140625" customWidth="1"/>
    <col min="7434" max="7434" width="11.5703125" customWidth="1"/>
    <col min="7435" max="7435" width="11.140625" customWidth="1"/>
    <col min="7436" max="7436" width="11.28515625" customWidth="1"/>
    <col min="7440" max="7440" width="10.7109375" customWidth="1"/>
    <col min="7441" max="7441" width="10.42578125" customWidth="1"/>
    <col min="7447" max="7447" width="10.28515625" customWidth="1"/>
    <col min="7681" max="7681" width="4.7109375" customWidth="1"/>
    <col min="7685" max="7685" width="11.42578125" customWidth="1"/>
    <col min="7686" max="7686" width="10.5703125" customWidth="1"/>
    <col min="7687" max="7688" width="9.85546875" customWidth="1"/>
    <col min="7689" max="7689" width="10.140625" customWidth="1"/>
    <col min="7690" max="7690" width="11.5703125" customWidth="1"/>
    <col min="7691" max="7691" width="11.140625" customWidth="1"/>
    <col min="7692" max="7692" width="11.28515625" customWidth="1"/>
    <col min="7696" max="7696" width="10.7109375" customWidth="1"/>
    <col min="7697" max="7697" width="10.42578125" customWidth="1"/>
    <col min="7703" max="7703" width="10.28515625" customWidth="1"/>
    <col min="7937" max="7937" width="4.7109375" customWidth="1"/>
    <col min="7941" max="7941" width="11.42578125" customWidth="1"/>
    <col min="7942" max="7942" width="10.5703125" customWidth="1"/>
    <col min="7943" max="7944" width="9.85546875" customWidth="1"/>
    <col min="7945" max="7945" width="10.140625" customWidth="1"/>
    <col min="7946" max="7946" width="11.5703125" customWidth="1"/>
    <col min="7947" max="7947" width="11.140625" customWidth="1"/>
    <col min="7948" max="7948" width="11.28515625" customWidth="1"/>
    <col min="7952" max="7952" width="10.7109375" customWidth="1"/>
    <col min="7953" max="7953" width="10.42578125" customWidth="1"/>
    <col min="7959" max="7959" width="10.28515625" customWidth="1"/>
    <col min="8193" max="8193" width="4.7109375" customWidth="1"/>
    <col min="8197" max="8197" width="11.42578125" customWidth="1"/>
    <col min="8198" max="8198" width="10.5703125" customWidth="1"/>
    <col min="8199" max="8200" width="9.85546875" customWidth="1"/>
    <col min="8201" max="8201" width="10.140625" customWidth="1"/>
    <col min="8202" max="8202" width="11.5703125" customWidth="1"/>
    <col min="8203" max="8203" width="11.140625" customWidth="1"/>
    <col min="8204" max="8204" width="11.28515625" customWidth="1"/>
    <col min="8208" max="8208" width="10.7109375" customWidth="1"/>
    <col min="8209" max="8209" width="10.42578125" customWidth="1"/>
    <col min="8215" max="8215" width="10.28515625" customWidth="1"/>
    <col min="8449" max="8449" width="4.7109375" customWidth="1"/>
    <col min="8453" max="8453" width="11.42578125" customWidth="1"/>
    <col min="8454" max="8454" width="10.5703125" customWidth="1"/>
    <col min="8455" max="8456" width="9.85546875" customWidth="1"/>
    <col min="8457" max="8457" width="10.140625" customWidth="1"/>
    <col min="8458" max="8458" width="11.5703125" customWidth="1"/>
    <col min="8459" max="8459" width="11.140625" customWidth="1"/>
    <col min="8460" max="8460" width="11.28515625" customWidth="1"/>
    <col min="8464" max="8464" width="10.7109375" customWidth="1"/>
    <col min="8465" max="8465" width="10.42578125" customWidth="1"/>
    <col min="8471" max="8471" width="10.28515625" customWidth="1"/>
    <col min="8705" max="8705" width="4.7109375" customWidth="1"/>
    <col min="8709" max="8709" width="11.42578125" customWidth="1"/>
    <col min="8710" max="8710" width="10.5703125" customWidth="1"/>
    <col min="8711" max="8712" width="9.85546875" customWidth="1"/>
    <col min="8713" max="8713" width="10.140625" customWidth="1"/>
    <col min="8714" max="8714" width="11.5703125" customWidth="1"/>
    <col min="8715" max="8715" width="11.140625" customWidth="1"/>
    <col min="8716" max="8716" width="11.28515625" customWidth="1"/>
    <col min="8720" max="8720" width="10.7109375" customWidth="1"/>
    <col min="8721" max="8721" width="10.42578125" customWidth="1"/>
    <col min="8727" max="8727" width="10.28515625" customWidth="1"/>
    <col min="8961" max="8961" width="4.7109375" customWidth="1"/>
    <col min="8965" max="8965" width="11.42578125" customWidth="1"/>
    <col min="8966" max="8966" width="10.5703125" customWidth="1"/>
    <col min="8967" max="8968" width="9.85546875" customWidth="1"/>
    <col min="8969" max="8969" width="10.140625" customWidth="1"/>
    <col min="8970" max="8970" width="11.5703125" customWidth="1"/>
    <col min="8971" max="8971" width="11.140625" customWidth="1"/>
    <col min="8972" max="8972" width="11.28515625" customWidth="1"/>
    <col min="8976" max="8976" width="10.7109375" customWidth="1"/>
    <col min="8977" max="8977" width="10.42578125" customWidth="1"/>
    <col min="8983" max="8983" width="10.28515625" customWidth="1"/>
    <col min="9217" max="9217" width="4.7109375" customWidth="1"/>
    <col min="9221" max="9221" width="11.42578125" customWidth="1"/>
    <col min="9222" max="9222" width="10.5703125" customWidth="1"/>
    <col min="9223" max="9224" width="9.85546875" customWidth="1"/>
    <col min="9225" max="9225" width="10.140625" customWidth="1"/>
    <col min="9226" max="9226" width="11.5703125" customWidth="1"/>
    <col min="9227" max="9227" width="11.140625" customWidth="1"/>
    <col min="9228" max="9228" width="11.28515625" customWidth="1"/>
    <col min="9232" max="9232" width="10.7109375" customWidth="1"/>
    <col min="9233" max="9233" width="10.42578125" customWidth="1"/>
    <col min="9239" max="9239" width="10.28515625" customWidth="1"/>
    <col min="9473" max="9473" width="4.7109375" customWidth="1"/>
    <col min="9477" max="9477" width="11.42578125" customWidth="1"/>
    <col min="9478" max="9478" width="10.5703125" customWidth="1"/>
    <col min="9479" max="9480" width="9.85546875" customWidth="1"/>
    <col min="9481" max="9481" width="10.140625" customWidth="1"/>
    <col min="9482" max="9482" width="11.5703125" customWidth="1"/>
    <col min="9483" max="9483" width="11.140625" customWidth="1"/>
    <col min="9484" max="9484" width="11.28515625" customWidth="1"/>
    <col min="9488" max="9488" width="10.7109375" customWidth="1"/>
    <col min="9489" max="9489" width="10.42578125" customWidth="1"/>
    <col min="9495" max="9495" width="10.28515625" customWidth="1"/>
    <col min="9729" max="9729" width="4.7109375" customWidth="1"/>
    <col min="9733" max="9733" width="11.42578125" customWidth="1"/>
    <col min="9734" max="9734" width="10.5703125" customWidth="1"/>
    <col min="9735" max="9736" width="9.85546875" customWidth="1"/>
    <col min="9737" max="9737" width="10.140625" customWidth="1"/>
    <col min="9738" max="9738" width="11.5703125" customWidth="1"/>
    <col min="9739" max="9739" width="11.140625" customWidth="1"/>
    <col min="9740" max="9740" width="11.28515625" customWidth="1"/>
    <col min="9744" max="9744" width="10.7109375" customWidth="1"/>
    <col min="9745" max="9745" width="10.42578125" customWidth="1"/>
    <col min="9751" max="9751" width="10.28515625" customWidth="1"/>
    <col min="9985" max="9985" width="4.7109375" customWidth="1"/>
    <col min="9989" max="9989" width="11.42578125" customWidth="1"/>
    <col min="9990" max="9990" width="10.5703125" customWidth="1"/>
    <col min="9991" max="9992" width="9.85546875" customWidth="1"/>
    <col min="9993" max="9993" width="10.140625" customWidth="1"/>
    <col min="9994" max="9994" width="11.5703125" customWidth="1"/>
    <col min="9995" max="9995" width="11.140625" customWidth="1"/>
    <col min="9996" max="9996" width="11.28515625" customWidth="1"/>
    <col min="10000" max="10000" width="10.7109375" customWidth="1"/>
    <col min="10001" max="10001" width="10.42578125" customWidth="1"/>
    <col min="10007" max="10007" width="10.28515625" customWidth="1"/>
    <col min="10241" max="10241" width="4.7109375" customWidth="1"/>
    <col min="10245" max="10245" width="11.42578125" customWidth="1"/>
    <col min="10246" max="10246" width="10.5703125" customWidth="1"/>
    <col min="10247" max="10248" width="9.85546875" customWidth="1"/>
    <col min="10249" max="10249" width="10.140625" customWidth="1"/>
    <col min="10250" max="10250" width="11.5703125" customWidth="1"/>
    <col min="10251" max="10251" width="11.140625" customWidth="1"/>
    <col min="10252" max="10252" width="11.28515625" customWidth="1"/>
    <col min="10256" max="10256" width="10.7109375" customWidth="1"/>
    <col min="10257" max="10257" width="10.42578125" customWidth="1"/>
    <col min="10263" max="10263" width="10.28515625" customWidth="1"/>
    <col min="10497" max="10497" width="4.7109375" customWidth="1"/>
    <col min="10501" max="10501" width="11.42578125" customWidth="1"/>
    <col min="10502" max="10502" width="10.5703125" customWidth="1"/>
    <col min="10503" max="10504" width="9.85546875" customWidth="1"/>
    <col min="10505" max="10505" width="10.140625" customWidth="1"/>
    <col min="10506" max="10506" width="11.5703125" customWidth="1"/>
    <col min="10507" max="10507" width="11.140625" customWidth="1"/>
    <col min="10508" max="10508" width="11.28515625" customWidth="1"/>
    <col min="10512" max="10512" width="10.7109375" customWidth="1"/>
    <col min="10513" max="10513" width="10.42578125" customWidth="1"/>
    <col min="10519" max="10519" width="10.28515625" customWidth="1"/>
    <col min="10753" max="10753" width="4.7109375" customWidth="1"/>
    <col min="10757" max="10757" width="11.42578125" customWidth="1"/>
    <col min="10758" max="10758" width="10.5703125" customWidth="1"/>
    <col min="10759" max="10760" width="9.85546875" customWidth="1"/>
    <col min="10761" max="10761" width="10.140625" customWidth="1"/>
    <col min="10762" max="10762" width="11.5703125" customWidth="1"/>
    <col min="10763" max="10763" width="11.140625" customWidth="1"/>
    <col min="10764" max="10764" width="11.28515625" customWidth="1"/>
    <col min="10768" max="10768" width="10.7109375" customWidth="1"/>
    <col min="10769" max="10769" width="10.42578125" customWidth="1"/>
    <col min="10775" max="10775" width="10.28515625" customWidth="1"/>
    <col min="11009" max="11009" width="4.7109375" customWidth="1"/>
    <col min="11013" max="11013" width="11.42578125" customWidth="1"/>
    <col min="11014" max="11014" width="10.5703125" customWidth="1"/>
    <col min="11015" max="11016" width="9.85546875" customWidth="1"/>
    <col min="11017" max="11017" width="10.140625" customWidth="1"/>
    <col min="11018" max="11018" width="11.5703125" customWidth="1"/>
    <col min="11019" max="11019" width="11.140625" customWidth="1"/>
    <col min="11020" max="11020" width="11.28515625" customWidth="1"/>
    <col min="11024" max="11024" width="10.7109375" customWidth="1"/>
    <col min="11025" max="11025" width="10.42578125" customWidth="1"/>
    <col min="11031" max="11031" width="10.28515625" customWidth="1"/>
    <col min="11265" max="11265" width="4.7109375" customWidth="1"/>
    <col min="11269" max="11269" width="11.42578125" customWidth="1"/>
    <col min="11270" max="11270" width="10.5703125" customWidth="1"/>
    <col min="11271" max="11272" width="9.85546875" customWidth="1"/>
    <col min="11273" max="11273" width="10.140625" customWidth="1"/>
    <col min="11274" max="11274" width="11.5703125" customWidth="1"/>
    <col min="11275" max="11275" width="11.140625" customWidth="1"/>
    <col min="11276" max="11276" width="11.28515625" customWidth="1"/>
    <col min="11280" max="11280" width="10.7109375" customWidth="1"/>
    <col min="11281" max="11281" width="10.42578125" customWidth="1"/>
    <col min="11287" max="11287" width="10.28515625" customWidth="1"/>
    <col min="11521" max="11521" width="4.7109375" customWidth="1"/>
    <col min="11525" max="11525" width="11.42578125" customWidth="1"/>
    <col min="11526" max="11526" width="10.5703125" customWidth="1"/>
    <col min="11527" max="11528" width="9.85546875" customWidth="1"/>
    <col min="11529" max="11529" width="10.140625" customWidth="1"/>
    <col min="11530" max="11530" width="11.5703125" customWidth="1"/>
    <col min="11531" max="11531" width="11.140625" customWidth="1"/>
    <col min="11532" max="11532" width="11.28515625" customWidth="1"/>
    <col min="11536" max="11536" width="10.7109375" customWidth="1"/>
    <col min="11537" max="11537" width="10.42578125" customWidth="1"/>
    <col min="11543" max="11543" width="10.28515625" customWidth="1"/>
    <col min="11777" max="11777" width="4.7109375" customWidth="1"/>
    <col min="11781" max="11781" width="11.42578125" customWidth="1"/>
    <col min="11782" max="11782" width="10.5703125" customWidth="1"/>
    <col min="11783" max="11784" width="9.85546875" customWidth="1"/>
    <col min="11785" max="11785" width="10.140625" customWidth="1"/>
    <col min="11786" max="11786" width="11.5703125" customWidth="1"/>
    <col min="11787" max="11787" width="11.140625" customWidth="1"/>
    <col min="11788" max="11788" width="11.28515625" customWidth="1"/>
    <col min="11792" max="11792" width="10.7109375" customWidth="1"/>
    <col min="11793" max="11793" width="10.42578125" customWidth="1"/>
    <col min="11799" max="11799" width="10.28515625" customWidth="1"/>
    <col min="12033" max="12033" width="4.7109375" customWidth="1"/>
    <col min="12037" max="12037" width="11.42578125" customWidth="1"/>
    <col min="12038" max="12038" width="10.5703125" customWidth="1"/>
    <col min="12039" max="12040" width="9.85546875" customWidth="1"/>
    <col min="12041" max="12041" width="10.140625" customWidth="1"/>
    <col min="12042" max="12042" width="11.5703125" customWidth="1"/>
    <col min="12043" max="12043" width="11.140625" customWidth="1"/>
    <col min="12044" max="12044" width="11.28515625" customWidth="1"/>
    <col min="12048" max="12048" width="10.7109375" customWidth="1"/>
    <col min="12049" max="12049" width="10.42578125" customWidth="1"/>
    <col min="12055" max="12055" width="10.28515625" customWidth="1"/>
    <col min="12289" max="12289" width="4.7109375" customWidth="1"/>
    <col min="12293" max="12293" width="11.42578125" customWidth="1"/>
    <col min="12294" max="12294" width="10.5703125" customWidth="1"/>
    <col min="12295" max="12296" width="9.85546875" customWidth="1"/>
    <col min="12297" max="12297" width="10.140625" customWidth="1"/>
    <col min="12298" max="12298" width="11.5703125" customWidth="1"/>
    <col min="12299" max="12299" width="11.140625" customWidth="1"/>
    <col min="12300" max="12300" width="11.28515625" customWidth="1"/>
    <col min="12304" max="12304" width="10.7109375" customWidth="1"/>
    <col min="12305" max="12305" width="10.42578125" customWidth="1"/>
    <col min="12311" max="12311" width="10.28515625" customWidth="1"/>
    <col min="12545" max="12545" width="4.7109375" customWidth="1"/>
    <col min="12549" max="12549" width="11.42578125" customWidth="1"/>
    <col min="12550" max="12550" width="10.5703125" customWidth="1"/>
    <col min="12551" max="12552" width="9.85546875" customWidth="1"/>
    <col min="12553" max="12553" width="10.140625" customWidth="1"/>
    <col min="12554" max="12554" width="11.5703125" customWidth="1"/>
    <col min="12555" max="12555" width="11.140625" customWidth="1"/>
    <col min="12556" max="12556" width="11.28515625" customWidth="1"/>
    <col min="12560" max="12560" width="10.7109375" customWidth="1"/>
    <col min="12561" max="12561" width="10.42578125" customWidth="1"/>
    <col min="12567" max="12567" width="10.28515625" customWidth="1"/>
    <col min="12801" max="12801" width="4.7109375" customWidth="1"/>
    <col min="12805" max="12805" width="11.42578125" customWidth="1"/>
    <col min="12806" max="12806" width="10.5703125" customWidth="1"/>
    <col min="12807" max="12808" width="9.85546875" customWidth="1"/>
    <col min="12809" max="12809" width="10.140625" customWidth="1"/>
    <col min="12810" max="12810" width="11.5703125" customWidth="1"/>
    <col min="12811" max="12811" width="11.140625" customWidth="1"/>
    <col min="12812" max="12812" width="11.28515625" customWidth="1"/>
    <col min="12816" max="12816" width="10.7109375" customWidth="1"/>
    <col min="12817" max="12817" width="10.42578125" customWidth="1"/>
    <col min="12823" max="12823" width="10.28515625" customWidth="1"/>
    <col min="13057" max="13057" width="4.7109375" customWidth="1"/>
    <col min="13061" max="13061" width="11.42578125" customWidth="1"/>
    <col min="13062" max="13062" width="10.5703125" customWidth="1"/>
    <col min="13063" max="13064" width="9.85546875" customWidth="1"/>
    <col min="13065" max="13065" width="10.140625" customWidth="1"/>
    <col min="13066" max="13066" width="11.5703125" customWidth="1"/>
    <col min="13067" max="13067" width="11.140625" customWidth="1"/>
    <col min="13068" max="13068" width="11.28515625" customWidth="1"/>
    <col min="13072" max="13072" width="10.7109375" customWidth="1"/>
    <col min="13073" max="13073" width="10.42578125" customWidth="1"/>
    <col min="13079" max="13079" width="10.28515625" customWidth="1"/>
    <col min="13313" max="13313" width="4.7109375" customWidth="1"/>
    <col min="13317" max="13317" width="11.42578125" customWidth="1"/>
    <col min="13318" max="13318" width="10.5703125" customWidth="1"/>
    <col min="13319" max="13320" width="9.85546875" customWidth="1"/>
    <col min="13321" max="13321" width="10.140625" customWidth="1"/>
    <col min="13322" max="13322" width="11.5703125" customWidth="1"/>
    <col min="13323" max="13323" width="11.140625" customWidth="1"/>
    <col min="13324" max="13324" width="11.28515625" customWidth="1"/>
    <col min="13328" max="13328" width="10.7109375" customWidth="1"/>
    <col min="13329" max="13329" width="10.42578125" customWidth="1"/>
    <col min="13335" max="13335" width="10.28515625" customWidth="1"/>
    <col min="13569" max="13569" width="4.7109375" customWidth="1"/>
    <col min="13573" max="13573" width="11.42578125" customWidth="1"/>
    <col min="13574" max="13574" width="10.5703125" customWidth="1"/>
    <col min="13575" max="13576" width="9.85546875" customWidth="1"/>
    <col min="13577" max="13577" width="10.140625" customWidth="1"/>
    <col min="13578" max="13578" width="11.5703125" customWidth="1"/>
    <col min="13579" max="13579" width="11.140625" customWidth="1"/>
    <col min="13580" max="13580" width="11.28515625" customWidth="1"/>
    <col min="13584" max="13584" width="10.7109375" customWidth="1"/>
    <col min="13585" max="13585" width="10.42578125" customWidth="1"/>
    <col min="13591" max="13591" width="10.28515625" customWidth="1"/>
    <col min="13825" max="13825" width="4.7109375" customWidth="1"/>
    <col min="13829" max="13829" width="11.42578125" customWidth="1"/>
    <col min="13830" max="13830" width="10.5703125" customWidth="1"/>
    <col min="13831" max="13832" width="9.85546875" customWidth="1"/>
    <col min="13833" max="13833" width="10.140625" customWidth="1"/>
    <col min="13834" max="13834" width="11.5703125" customWidth="1"/>
    <col min="13835" max="13835" width="11.140625" customWidth="1"/>
    <col min="13836" max="13836" width="11.28515625" customWidth="1"/>
    <col min="13840" max="13840" width="10.7109375" customWidth="1"/>
    <col min="13841" max="13841" width="10.42578125" customWidth="1"/>
    <col min="13847" max="13847" width="10.28515625" customWidth="1"/>
    <col min="14081" max="14081" width="4.7109375" customWidth="1"/>
    <col min="14085" max="14085" width="11.42578125" customWidth="1"/>
    <col min="14086" max="14086" width="10.5703125" customWidth="1"/>
    <col min="14087" max="14088" width="9.85546875" customWidth="1"/>
    <col min="14089" max="14089" width="10.140625" customWidth="1"/>
    <col min="14090" max="14090" width="11.5703125" customWidth="1"/>
    <col min="14091" max="14091" width="11.140625" customWidth="1"/>
    <col min="14092" max="14092" width="11.28515625" customWidth="1"/>
    <col min="14096" max="14096" width="10.7109375" customWidth="1"/>
    <col min="14097" max="14097" width="10.42578125" customWidth="1"/>
    <col min="14103" max="14103" width="10.28515625" customWidth="1"/>
    <col min="14337" max="14337" width="4.7109375" customWidth="1"/>
    <col min="14341" max="14341" width="11.42578125" customWidth="1"/>
    <col min="14342" max="14342" width="10.5703125" customWidth="1"/>
    <col min="14343" max="14344" width="9.85546875" customWidth="1"/>
    <col min="14345" max="14345" width="10.140625" customWidth="1"/>
    <col min="14346" max="14346" width="11.5703125" customWidth="1"/>
    <col min="14347" max="14347" width="11.140625" customWidth="1"/>
    <col min="14348" max="14348" width="11.28515625" customWidth="1"/>
    <col min="14352" max="14352" width="10.7109375" customWidth="1"/>
    <col min="14353" max="14353" width="10.42578125" customWidth="1"/>
    <col min="14359" max="14359" width="10.28515625" customWidth="1"/>
    <col min="14593" max="14593" width="4.7109375" customWidth="1"/>
    <col min="14597" max="14597" width="11.42578125" customWidth="1"/>
    <col min="14598" max="14598" width="10.5703125" customWidth="1"/>
    <col min="14599" max="14600" width="9.85546875" customWidth="1"/>
    <col min="14601" max="14601" width="10.140625" customWidth="1"/>
    <col min="14602" max="14602" width="11.5703125" customWidth="1"/>
    <col min="14603" max="14603" width="11.140625" customWidth="1"/>
    <col min="14604" max="14604" width="11.28515625" customWidth="1"/>
    <col min="14608" max="14608" width="10.7109375" customWidth="1"/>
    <col min="14609" max="14609" width="10.42578125" customWidth="1"/>
    <col min="14615" max="14615" width="10.28515625" customWidth="1"/>
    <col min="14849" max="14849" width="4.7109375" customWidth="1"/>
    <col min="14853" max="14853" width="11.42578125" customWidth="1"/>
    <col min="14854" max="14854" width="10.5703125" customWidth="1"/>
    <col min="14855" max="14856" width="9.85546875" customWidth="1"/>
    <col min="14857" max="14857" width="10.140625" customWidth="1"/>
    <col min="14858" max="14858" width="11.5703125" customWidth="1"/>
    <col min="14859" max="14859" width="11.140625" customWidth="1"/>
    <col min="14860" max="14860" width="11.28515625" customWidth="1"/>
    <col min="14864" max="14864" width="10.7109375" customWidth="1"/>
    <col min="14865" max="14865" width="10.42578125" customWidth="1"/>
    <col min="14871" max="14871" width="10.28515625" customWidth="1"/>
    <col min="15105" max="15105" width="4.7109375" customWidth="1"/>
    <col min="15109" max="15109" width="11.42578125" customWidth="1"/>
    <col min="15110" max="15110" width="10.5703125" customWidth="1"/>
    <col min="15111" max="15112" width="9.85546875" customWidth="1"/>
    <col min="15113" max="15113" width="10.140625" customWidth="1"/>
    <col min="15114" max="15114" width="11.5703125" customWidth="1"/>
    <col min="15115" max="15115" width="11.140625" customWidth="1"/>
    <col min="15116" max="15116" width="11.28515625" customWidth="1"/>
    <col min="15120" max="15120" width="10.7109375" customWidth="1"/>
    <col min="15121" max="15121" width="10.42578125" customWidth="1"/>
    <col min="15127" max="15127" width="10.28515625" customWidth="1"/>
    <col min="15361" max="15361" width="4.7109375" customWidth="1"/>
    <col min="15365" max="15365" width="11.42578125" customWidth="1"/>
    <col min="15366" max="15366" width="10.5703125" customWidth="1"/>
    <col min="15367" max="15368" width="9.85546875" customWidth="1"/>
    <col min="15369" max="15369" width="10.140625" customWidth="1"/>
    <col min="15370" max="15370" width="11.5703125" customWidth="1"/>
    <col min="15371" max="15371" width="11.140625" customWidth="1"/>
    <col min="15372" max="15372" width="11.28515625" customWidth="1"/>
    <col min="15376" max="15376" width="10.7109375" customWidth="1"/>
    <col min="15377" max="15377" width="10.42578125" customWidth="1"/>
    <col min="15383" max="15383" width="10.28515625" customWidth="1"/>
    <col min="15617" max="15617" width="4.7109375" customWidth="1"/>
    <col min="15621" max="15621" width="11.42578125" customWidth="1"/>
    <col min="15622" max="15622" width="10.5703125" customWidth="1"/>
    <col min="15623" max="15624" width="9.85546875" customWidth="1"/>
    <col min="15625" max="15625" width="10.140625" customWidth="1"/>
    <col min="15626" max="15626" width="11.5703125" customWidth="1"/>
    <col min="15627" max="15627" width="11.140625" customWidth="1"/>
    <col min="15628" max="15628" width="11.28515625" customWidth="1"/>
    <col min="15632" max="15632" width="10.7109375" customWidth="1"/>
    <col min="15633" max="15633" width="10.42578125" customWidth="1"/>
    <col min="15639" max="15639" width="10.28515625" customWidth="1"/>
    <col min="15873" max="15873" width="4.7109375" customWidth="1"/>
    <col min="15877" max="15877" width="11.42578125" customWidth="1"/>
    <col min="15878" max="15878" width="10.5703125" customWidth="1"/>
    <col min="15879" max="15880" width="9.85546875" customWidth="1"/>
    <col min="15881" max="15881" width="10.140625" customWidth="1"/>
    <col min="15882" max="15882" width="11.5703125" customWidth="1"/>
    <col min="15883" max="15883" width="11.140625" customWidth="1"/>
    <col min="15884" max="15884" width="11.28515625" customWidth="1"/>
    <col min="15888" max="15888" width="10.7109375" customWidth="1"/>
    <col min="15889" max="15889" width="10.42578125" customWidth="1"/>
    <col min="15895" max="15895" width="10.28515625" customWidth="1"/>
    <col min="16129" max="16129" width="4.7109375" customWidth="1"/>
    <col min="16133" max="16133" width="11.42578125" customWidth="1"/>
    <col min="16134" max="16134" width="10.5703125" customWidth="1"/>
    <col min="16135" max="16136" width="9.85546875" customWidth="1"/>
    <col min="16137" max="16137" width="10.140625" customWidth="1"/>
    <col min="16138" max="16138" width="11.5703125" customWidth="1"/>
    <col min="16139" max="16139" width="11.140625" customWidth="1"/>
    <col min="16140" max="16140" width="11.28515625" customWidth="1"/>
    <col min="16144" max="16144" width="10.7109375" customWidth="1"/>
    <col min="16145" max="16145" width="10.42578125" customWidth="1"/>
    <col min="16151" max="16151" width="10.28515625" customWidth="1"/>
  </cols>
  <sheetData>
    <row r="1" spans="1:23" x14ac:dyDescent="0.2">
      <c r="A1" s="117" t="s">
        <v>0</v>
      </c>
      <c r="B1" s="117"/>
      <c r="C1" s="117"/>
      <c r="D1" s="117"/>
      <c r="E1" s="117"/>
      <c r="F1" s="117"/>
      <c r="G1" s="117"/>
      <c r="H1" s="117"/>
      <c r="I1" s="117"/>
      <c r="J1" s="117"/>
      <c r="K1" s="117"/>
      <c r="L1" s="117"/>
      <c r="M1" s="117"/>
      <c r="N1" s="117"/>
      <c r="O1" s="117"/>
      <c r="P1" s="117"/>
      <c r="Q1" s="117"/>
      <c r="R1" s="117"/>
      <c r="S1" s="117"/>
      <c r="T1" s="117"/>
      <c r="U1" s="117"/>
      <c r="V1" s="117"/>
      <c r="W1" s="117"/>
    </row>
    <row r="2" spans="1:23" x14ac:dyDescent="0.2">
      <c r="A2" s="117" t="s">
        <v>1</v>
      </c>
      <c r="B2" s="117"/>
      <c r="C2" s="117"/>
      <c r="D2" s="117"/>
      <c r="E2" s="117"/>
      <c r="F2" s="117"/>
      <c r="G2" s="117"/>
      <c r="H2" s="117"/>
      <c r="I2" s="117"/>
      <c r="J2" s="117"/>
      <c r="K2" s="117"/>
      <c r="L2" s="117"/>
      <c r="M2" s="117"/>
      <c r="N2" s="117"/>
      <c r="O2" s="117"/>
      <c r="P2" s="117"/>
      <c r="Q2" s="117"/>
      <c r="R2" s="117"/>
      <c r="S2" s="117"/>
      <c r="T2" s="117"/>
      <c r="U2" s="117"/>
      <c r="V2" s="117"/>
      <c r="W2" s="117"/>
    </row>
    <row r="3" spans="1:23" x14ac:dyDescent="0.2">
      <c r="A3" s="117" t="str">
        <f>"Base Case Forecast Effective " &amp; TEXT(EFFDATE,"MMMM DD YYYY")</f>
        <v>Base Case Forecast Effective December 31 2016</v>
      </c>
      <c r="B3" s="117"/>
      <c r="C3" s="117"/>
      <c r="D3" s="117"/>
      <c r="E3" s="117"/>
      <c r="F3" s="117"/>
      <c r="G3" s="117"/>
      <c r="H3" s="117"/>
      <c r="I3" s="117"/>
      <c r="J3" s="117"/>
      <c r="K3" s="117"/>
      <c r="L3" s="117"/>
      <c r="M3" s="117"/>
      <c r="N3" s="117"/>
      <c r="O3" s="117"/>
      <c r="P3" s="117"/>
      <c r="Q3" s="117"/>
      <c r="R3" s="117"/>
      <c r="S3" s="117"/>
      <c r="T3" s="117"/>
      <c r="U3" s="117"/>
      <c r="V3" s="117"/>
      <c r="W3" s="117"/>
    </row>
    <row r="4" spans="1:23" s="4" customFormat="1" x14ac:dyDescent="0.2">
      <c r="A4" s="1"/>
      <c r="B4" s="1"/>
      <c r="C4" s="2"/>
      <c r="D4" s="2"/>
      <c r="E4" s="3"/>
      <c r="G4" s="1"/>
      <c r="H4" s="1"/>
      <c r="I4" s="5"/>
      <c r="J4" s="5"/>
      <c r="K4" s="5"/>
      <c r="L4" s="5"/>
      <c r="M4" s="5"/>
      <c r="N4" s="5"/>
      <c r="O4" s="5"/>
      <c r="P4" s="5"/>
      <c r="Q4" s="1"/>
      <c r="R4" s="1"/>
      <c r="S4" s="1"/>
      <c r="T4" s="1"/>
      <c r="U4" s="1"/>
      <c r="V4" s="1"/>
      <c r="W4" s="1"/>
    </row>
    <row r="5" spans="1:23" x14ac:dyDescent="0.2">
      <c r="A5" s="6"/>
      <c r="B5" s="7" t="s">
        <v>2</v>
      </c>
      <c r="C5" s="8"/>
      <c r="D5" s="8"/>
      <c r="E5" s="9"/>
      <c r="F5" s="118" t="s">
        <v>3</v>
      </c>
      <c r="G5" s="119"/>
      <c r="H5" s="119"/>
      <c r="I5" s="119"/>
      <c r="J5" s="119"/>
      <c r="K5" s="119"/>
      <c r="L5" s="120"/>
      <c r="M5" s="118" t="s">
        <v>4</v>
      </c>
      <c r="N5" s="119"/>
      <c r="O5" s="119"/>
      <c r="P5" s="120"/>
      <c r="Q5" s="118" t="s">
        <v>5</v>
      </c>
      <c r="R5" s="119"/>
      <c r="S5" s="119"/>
      <c r="T5" s="119"/>
      <c r="U5" s="119"/>
      <c r="V5" s="120"/>
      <c r="W5" s="10" t="s">
        <v>6</v>
      </c>
    </row>
    <row r="6" spans="1:23" x14ac:dyDescent="0.2">
      <c r="A6" s="11"/>
      <c r="B6" s="12"/>
      <c r="C6" s="13"/>
      <c r="D6" s="13"/>
      <c r="E6" s="14"/>
      <c r="F6" s="15"/>
      <c r="G6" s="16"/>
      <c r="H6" s="16"/>
      <c r="I6" s="17"/>
      <c r="J6" s="16"/>
      <c r="K6" s="16"/>
      <c r="L6" s="18"/>
      <c r="M6" s="113" t="s">
        <v>7</v>
      </c>
      <c r="N6" s="114"/>
      <c r="O6" s="114"/>
      <c r="P6" s="115"/>
      <c r="Q6" s="16"/>
      <c r="R6" s="16"/>
      <c r="S6" s="16"/>
      <c r="T6" s="16"/>
      <c r="U6" s="16"/>
      <c r="V6" s="18"/>
      <c r="W6" s="18"/>
    </row>
    <row r="7" spans="1:23" x14ac:dyDescent="0.2">
      <c r="A7" s="11"/>
      <c r="B7" s="12"/>
      <c r="C7" s="13" t="s">
        <v>2</v>
      </c>
      <c r="D7" s="13"/>
      <c r="E7" s="14"/>
      <c r="F7" s="15"/>
      <c r="G7" s="16"/>
      <c r="H7" s="16"/>
      <c r="I7" s="17"/>
      <c r="J7" s="16"/>
      <c r="K7" s="16"/>
      <c r="L7" s="18"/>
      <c r="M7" s="15"/>
      <c r="N7" s="16"/>
      <c r="O7" s="16"/>
      <c r="P7" s="18"/>
      <c r="Q7" s="16" t="s">
        <v>8</v>
      </c>
      <c r="R7" s="16" t="s">
        <v>8</v>
      </c>
      <c r="S7" s="16" t="s">
        <v>8</v>
      </c>
      <c r="T7" s="16" t="s">
        <v>9</v>
      </c>
      <c r="U7" s="16"/>
      <c r="V7" s="18"/>
      <c r="W7" s="18"/>
    </row>
    <row r="8" spans="1:23" x14ac:dyDescent="0.2">
      <c r="A8" s="11"/>
      <c r="B8" s="12"/>
      <c r="C8" s="13"/>
      <c r="D8" s="13"/>
      <c r="E8" s="18"/>
      <c r="F8" s="15" t="s">
        <v>10</v>
      </c>
      <c r="G8" s="16" t="s">
        <v>10</v>
      </c>
      <c r="H8" s="16"/>
      <c r="I8" s="19"/>
      <c r="J8" s="16" t="s">
        <v>11</v>
      </c>
      <c r="K8" s="16" t="s">
        <v>12</v>
      </c>
      <c r="L8" s="18" t="s">
        <v>13</v>
      </c>
      <c r="M8" s="15"/>
      <c r="N8" s="16"/>
      <c r="O8" s="16"/>
      <c r="P8" s="18"/>
      <c r="Q8" s="16" t="s">
        <v>14</v>
      </c>
      <c r="R8" s="16" t="s">
        <v>15</v>
      </c>
      <c r="S8" s="16" t="s">
        <v>15</v>
      </c>
      <c r="T8" s="16" t="s">
        <v>16</v>
      </c>
      <c r="U8" s="20" t="s">
        <v>17</v>
      </c>
      <c r="V8" s="18" t="s">
        <v>17</v>
      </c>
      <c r="W8" s="18"/>
    </row>
    <row r="9" spans="1:23" x14ac:dyDescent="0.2">
      <c r="A9" s="11"/>
      <c r="B9" s="12"/>
      <c r="C9" s="16"/>
      <c r="D9" s="16"/>
      <c r="E9" s="18"/>
      <c r="F9" s="15" t="s">
        <v>18</v>
      </c>
      <c r="G9" s="16" t="s">
        <v>18</v>
      </c>
      <c r="H9" s="16" t="s">
        <v>19</v>
      </c>
      <c r="I9" s="19" t="s">
        <v>19</v>
      </c>
      <c r="J9" s="16" t="s">
        <v>20</v>
      </c>
      <c r="K9" s="16" t="s">
        <v>21</v>
      </c>
      <c r="L9" s="18" t="s">
        <v>22</v>
      </c>
      <c r="M9" s="15"/>
      <c r="N9" s="16"/>
      <c r="O9" s="16"/>
      <c r="P9" s="18" t="s">
        <v>23</v>
      </c>
      <c r="Q9" s="16" t="s">
        <v>24</v>
      </c>
      <c r="R9" s="16" t="s">
        <v>24</v>
      </c>
      <c r="S9" s="16" t="s">
        <v>24</v>
      </c>
      <c r="T9" s="16" t="s">
        <v>25</v>
      </c>
      <c r="U9" s="20" t="s">
        <v>26</v>
      </c>
      <c r="V9" s="21" t="s">
        <v>26</v>
      </c>
      <c r="W9" s="18" t="s">
        <v>8</v>
      </c>
    </row>
    <row r="10" spans="1:23" x14ac:dyDescent="0.2">
      <c r="A10" s="11"/>
      <c r="B10" s="16"/>
      <c r="C10" s="16" t="s">
        <v>27</v>
      </c>
      <c r="D10" s="16" t="s">
        <v>28</v>
      </c>
      <c r="E10" s="18" t="s">
        <v>29</v>
      </c>
      <c r="F10" s="15" t="s">
        <v>30</v>
      </c>
      <c r="G10" s="16" t="s">
        <v>30</v>
      </c>
      <c r="H10" s="16" t="s">
        <v>31</v>
      </c>
      <c r="I10" s="16" t="s">
        <v>31</v>
      </c>
      <c r="J10" s="16" t="s">
        <v>32</v>
      </c>
      <c r="K10" s="16" t="s">
        <v>32</v>
      </c>
      <c r="L10" s="18" t="s">
        <v>32</v>
      </c>
      <c r="M10" s="15" t="s">
        <v>33</v>
      </c>
      <c r="N10" s="16" t="s">
        <v>34</v>
      </c>
      <c r="O10" s="16" t="s">
        <v>35</v>
      </c>
      <c r="P10" s="18" t="s">
        <v>36</v>
      </c>
      <c r="Q10" s="16" t="s">
        <v>27</v>
      </c>
      <c r="R10" s="16" t="s">
        <v>27</v>
      </c>
      <c r="S10" s="16" t="s">
        <v>27</v>
      </c>
      <c r="T10" s="16" t="s">
        <v>37</v>
      </c>
      <c r="U10" s="22" t="s">
        <v>38</v>
      </c>
      <c r="V10" s="21" t="s">
        <v>38</v>
      </c>
      <c r="W10" s="18" t="s">
        <v>39</v>
      </c>
    </row>
    <row r="11" spans="1:23" x14ac:dyDescent="0.2">
      <c r="A11" s="11"/>
      <c r="B11" s="12"/>
      <c r="C11" s="16" t="s">
        <v>40</v>
      </c>
      <c r="D11" s="16" t="s">
        <v>40</v>
      </c>
      <c r="E11" s="18" t="s">
        <v>41</v>
      </c>
      <c r="F11" s="15" t="s">
        <v>42</v>
      </c>
      <c r="G11" s="16" t="s">
        <v>42</v>
      </c>
      <c r="H11" s="16" t="s">
        <v>43</v>
      </c>
      <c r="I11" s="19" t="s">
        <v>43</v>
      </c>
      <c r="J11" s="16" t="s">
        <v>43</v>
      </c>
      <c r="K11" s="16" t="s">
        <v>43</v>
      </c>
      <c r="L11" s="18" t="s">
        <v>44</v>
      </c>
      <c r="M11" s="16" t="s">
        <v>44</v>
      </c>
      <c r="N11" s="16" t="s">
        <v>43</v>
      </c>
      <c r="O11" s="16" t="s">
        <v>43</v>
      </c>
      <c r="P11" s="18" t="s">
        <v>44</v>
      </c>
      <c r="Q11" s="16" t="s">
        <v>45</v>
      </c>
      <c r="R11" s="16" t="s">
        <v>45</v>
      </c>
      <c r="S11" s="16" t="s">
        <v>45</v>
      </c>
      <c r="T11" s="16" t="s">
        <v>45</v>
      </c>
      <c r="U11" s="16" t="s">
        <v>46</v>
      </c>
      <c r="V11" s="18" t="s">
        <v>46</v>
      </c>
      <c r="W11" s="18" t="s">
        <v>47</v>
      </c>
    </row>
    <row r="12" spans="1:23" x14ac:dyDescent="0.2">
      <c r="A12" s="23"/>
      <c r="B12" s="24"/>
      <c r="C12" s="25" t="s">
        <v>48</v>
      </c>
      <c r="D12" s="25" t="s">
        <v>48</v>
      </c>
      <c r="E12" s="26" t="s">
        <v>48</v>
      </c>
      <c r="F12" s="27" t="s">
        <v>49</v>
      </c>
      <c r="G12" s="28" t="s">
        <v>50</v>
      </c>
      <c r="H12" s="28" t="s">
        <v>49</v>
      </c>
      <c r="I12" s="29" t="s">
        <v>50</v>
      </c>
      <c r="J12" s="29" t="s">
        <v>50</v>
      </c>
      <c r="K12" s="29" t="s">
        <v>50</v>
      </c>
      <c r="L12" s="30" t="s">
        <v>50</v>
      </c>
      <c r="M12" s="27" t="s">
        <v>50</v>
      </c>
      <c r="N12" s="28" t="s">
        <v>50</v>
      </c>
      <c r="O12" s="28" t="s">
        <v>50</v>
      </c>
      <c r="P12" s="30" t="s">
        <v>50</v>
      </c>
      <c r="Q12" s="28" t="s">
        <v>50</v>
      </c>
      <c r="R12" s="28" t="s">
        <v>49</v>
      </c>
      <c r="S12" s="28" t="s">
        <v>50</v>
      </c>
      <c r="T12" s="28" t="s">
        <v>50</v>
      </c>
      <c r="U12" s="28" t="s">
        <v>49</v>
      </c>
      <c r="V12" s="30" t="s">
        <v>50</v>
      </c>
      <c r="W12" s="30" t="s">
        <v>50</v>
      </c>
    </row>
    <row r="13" spans="1:23" x14ac:dyDescent="0.2">
      <c r="A13" s="15" t="s">
        <v>51</v>
      </c>
      <c r="B13" s="16">
        <f>YEAR(EFFDATE)-10</f>
        <v>2006</v>
      </c>
      <c r="C13" s="13">
        <f>HLOOKUP("Price Inflation",'[2]Historical Yearly Input'!$2:$14,MATCH($B13,'[2]Historical Yearly Input'!$B$2:$B$14,0),FALSE)</f>
        <v>1.7000000000000001E-2</v>
      </c>
      <c r="D13" s="13">
        <f>HLOOKUP("Price Inflation",'[2]Historical Yearly Input'!$2:$14,MATCH($B13,'[2]Historical Yearly Input'!$B$2:$B$14,0),FALSE)</f>
        <v>1.7000000000000001E-2</v>
      </c>
      <c r="E13" s="31">
        <f>HLOOKUP("Canadian Dollar",'[2]Historical Yearly Input'!$2:$14,MATCH($B13,'[2]Historical Yearly Input'!$B$2:$B$14,0),FALSE)</f>
        <v>0.86699999999999999</v>
      </c>
      <c r="F13" s="32">
        <f t="shared" ref="F13:F20" si="0">G13/((1-$C13)*(1-$C14))</f>
        <v>64.411005140700254</v>
      </c>
      <c r="G13" s="17">
        <f>HLOOKUP("WTI",'[2]Historical Yearly Input'!$2:$14,MATCH($B13,'[2]Historical Yearly Input'!$B$2:$B$14,0),FALSE)</f>
        <v>61.96</v>
      </c>
      <c r="H13" s="33">
        <f t="shared" ref="H13:H20" si="1">I13/((1-$C13)*(1-$C14))</f>
        <v>71.303273766956593</v>
      </c>
      <c r="I13" s="17">
        <f>HLOOKUP("Edmonton Light",'[2]Historical Yearly Input'!$2:$14,MATCH($B13,'[2]Historical Yearly Input'!$B$2:$B$14,0),FALSE)</f>
        <v>68.59</v>
      </c>
      <c r="J13" s="17">
        <f>HLOOKUP("Hardisty WCS",'[2]Historical Yearly Input'!$2:$14,MATCH($B13,'[2]Historical Yearly Input'!$B$2:$B$14,0),FALSE)</f>
        <v>50.61</v>
      </c>
      <c r="K13" s="17">
        <f>HLOOKUP("Hardisty Bow River",'[2]Historical Yearly Input'!$2:$14,MATCH($B13,'[2]Historical Yearly Input'!$B$2:$B$14,0),FALSE)</f>
        <v>51.71</v>
      </c>
      <c r="L13" s="17">
        <f>HLOOKUP("Hardisty Heavy",'[2]Historical Yearly Input'!$2:$14,MATCH($B13,'[2]Historical Yearly Input'!$B$2:$B$14,0),FALSE)</f>
        <v>37.1</v>
      </c>
      <c r="M13" s="34">
        <f>HLOOKUP("Ethane FOB Edmonton",'[2]Historical Yearly Input'!$2:$14,MATCH($B13,'[2]Historical Yearly Input'!$B$2:$B$14,0),FALSE)</f>
        <v>22.05</v>
      </c>
      <c r="N13" s="35">
        <f>HLOOKUP("Propane FOB Edmonton",'[2]Historical Yearly Input'!$2:$14,MATCH($B13,'[2]Historical Yearly Input'!$B$2:$B$14,0),FALSE)</f>
        <v>42.5</v>
      </c>
      <c r="O13" s="35">
        <f>HLOOKUP("Butane FOB Edmonton",'[2]Historical Yearly Input'!$2:$14,MATCH($B13,'[2]Historical Yearly Input'!$B$2:$B$14,0),FALSE)</f>
        <v>50.708054687834995</v>
      </c>
      <c r="P13" s="36">
        <f>HLOOKUP("Condensate FOB Edmonton",'[2]Historical Yearly Input'!$2:$14,MATCH($B13,'[2]Historical Yearly Input'!$B$2:$B$14,0),FALSE)</f>
        <v>75.960571249684179</v>
      </c>
      <c r="Q13" s="37">
        <f>HLOOKUP("Alberta Gas Reference",'[2]Historical Yearly Input'!$2:$14,MATCH($B13,'[2]Historical Yearly Input'!$B$2:$B$14,0),FALSE)</f>
        <v>7.4350357499999999</v>
      </c>
      <c r="R13" s="33">
        <f t="shared" ref="R13:R20" si="2">S13/((1-$C13)*(1-$C14))</f>
        <v>7.4640254504555807</v>
      </c>
      <c r="S13" s="37">
        <f>HLOOKUP("AECO-C Spot",'[2]Historical Yearly Input'!$2:$14,MATCH($B13,'[2]Historical Yearly Input'!$B$2:$B$14,0),FALSE)</f>
        <v>7.18</v>
      </c>
      <c r="T13" s="37">
        <f>HLOOKUP("BC Westcoast Station 2",'[2]Historical Yearly Input'!$2:$14,MATCH($B13,'[2]Historical Yearly Input'!$B$2:$B$14,0),FALSE)</f>
        <v>7.76</v>
      </c>
      <c r="U13" s="33">
        <f t="shared" ref="U13:U20" si="3">V13/((1-$C13)*(1-$C14))</f>
        <v>6.9962244124743824</v>
      </c>
      <c r="V13" s="38">
        <f>HLOOKUP("NYMEX Henry Hub",'[2]Historical Yearly Input'!$2:$14,MATCH($B13,'[2]Historical Yearly Input'!$B$2:$B$14,0),FALSE)</f>
        <v>6.73</v>
      </c>
      <c r="W13" s="38">
        <f>HLOOKUP("Sulphur Alberta Plantgate",'[2]Historical Yearly Input'!$2:$14,MATCH($B13,'[2]Historical Yearly Input'!$B$2:$B$14,0),FALSE)</f>
        <v>10.90218474498845</v>
      </c>
    </row>
    <row r="14" spans="1:23" x14ac:dyDescent="0.2">
      <c r="A14" s="15" t="s">
        <v>52</v>
      </c>
      <c r="B14" s="16">
        <f>B13+1</f>
        <v>2007</v>
      </c>
      <c r="C14" s="13">
        <f>HLOOKUP("Price Inflation",'[2]Historical Yearly Input'!$2:$14,MATCH($B14,'[2]Historical Yearly Input'!$B$2:$B$14,0),FALSE)</f>
        <v>2.1416666666666664E-2</v>
      </c>
      <c r="D14" s="13">
        <f>HLOOKUP("Price Inflation",'[2]Historical Yearly Input'!$2:$14,MATCH($B14,'[2]Historical Yearly Input'!$B$2:$B$14,0),FALSE)</f>
        <v>2.1416666666666664E-2</v>
      </c>
      <c r="E14" s="39">
        <f>HLOOKUP("Canadian Dollar",'[2]Historical Yearly Input'!$2:$14,MATCH($B14,'[2]Historical Yearly Input'!$B$2:$B$14,0),FALSE)</f>
        <v>0.93516666666666681</v>
      </c>
      <c r="F14" s="32">
        <f t="shared" si="0"/>
        <v>75.697151641705958</v>
      </c>
      <c r="G14" s="17">
        <f>HLOOKUP("WTI",'[2]Historical Yearly Input'!$2:$14,MATCH($B14,'[2]Historical Yearly Input'!$B$2:$B$14,0),FALSE)</f>
        <v>72.316666666666663</v>
      </c>
      <c r="H14" s="17">
        <f t="shared" si="1"/>
        <v>80.652619704353256</v>
      </c>
      <c r="I14" s="17">
        <f>HLOOKUP("Edmonton Light",'[2]Historical Yearly Input'!$2:$14,MATCH($B14,'[2]Historical Yearly Input'!$B$2:$B$14,0),FALSE)</f>
        <v>77.05083333333333</v>
      </c>
      <c r="J14" s="17">
        <f>HLOOKUP("Hardisty WCS",'[2]Historical Yearly Input'!$2:$14,MATCH($B14,'[2]Historical Yearly Input'!$B$2:$B$14,0),FALSE)</f>
        <v>52.903333333333343</v>
      </c>
      <c r="K14" s="17">
        <f>HLOOKUP("Hardisty Bow River",'[2]Historical Yearly Input'!$2:$14,MATCH($B14,'[2]Historical Yearly Input'!$B$2:$B$14,0),FALSE)</f>
        <v>53.87166666666667</v>
      </c>
      <c r="L14" s="17">
        <f>HLOOKUP("Hardisty Heavy",'[2]Historical Yearly Input'!$2:$14,MATCH($B14,'[2]Historical Yearly Input'!$B$2:$B$14,0),FALSE)</f>
        <v>39.763333333333328</v>
      </c>
      <c r="M14" s="34">
        <f>HLOOKUP("Ethane FOB Edmonton",'[2]Historical Yearly Input'!$2:$14,MATCH($B14,'[2]Historical Yearly Input'!$B$2:$B$14,0),FALSE)</f>
        <v>18.414999999999999</v>
      </c>
      <c r="N14" s="35">
        <f>HLOOKUP("Propane FOB Edmonton",'[2]Historical Yearly Input'!$2:$14,MATCH($B14,'[2]Historical Yearly Input'!$B$2:$B$14,0),FALSE)</f>
        <v>49.74907407407408</v>
      </c>
      <c r="O14" s="35">
        <f>HLOOKUP("Butane FOB Edmonton",'[2]Historical Yearly Input'!$2:$14,MATCH($B14,'[2]Historical Yearly Input'!$B$2:$B$14,0),FALSE)</f>
        <v>59.348381116635949</v>
      </c>
      <c r="P14" s="36">
        <f>HLOOKUP("Condensate FOB Edmonton",'[2]Historical Yearly Input'!$2:$14,MATCH($B14,'[2]Historical Yearly Input'!$B$2:$B$14,0),FALSE)</f>
        <v>81.6043924844043</v>
      </c>
      <c r="Q14" s="37">
        <f>HLOOKUP("Alberta Gas Reference",'[2]Historical Yearly Input'!$2:$14,MATCH($B14,'[2]Historical Yearly Input'!$B$2:$B$14,0),FALSE)</f>
        <v>6.202893891666668</v>
      </c>
      <c r="R14" s="17">
        <f t="shared" si="2"/>
        <v>6.7488921669956108</v>
      </c>
      <c r="S14" s="37">
        <f>HLOOKUP("AECO-C Spot",'[2]Historical Yearly Input'!$2:$14,MATCH($B14,'[2]Historical Yearly Input'!$B$2:$B$14,0),FALSE)</f>
        <v>6.4475000000000007</v>
      </c>
      <c r="T14" s="37">
        <f>HLOOKUP("BC Westcoast Station 2",'[2]Historical Yearly Input'!$2:$14,MATCH($B14,'[2]Historical Yearly Input'!$B$2:$B$14,0),FALSE)</f>
        <v>6.3975</v>
      </c>
      <c r="U14" s="17">
        <f t="shared" si="3"/>
        <v>7.3027950396907384</v>
      </c>
      <c r="V14" s="38">
        <f>HLOOKUP("NYMEX Henry Hub",'[2]Historical Yearly Input'!$2:$14,MATCH($B14,'[2]Historical Yearly Input'!$B$2:$B$14,0),FALSE)</f>
        <v>6.9766666666666657</v>
      </c>
      <c r="W14" s="38">
        <f>HLOOKUP("Sulphur Alberta Plantgate",'[2]Historical Yearly Input'!$2:$14,MATCH($B14,'[2]Historical Yearly Input'!$B$2:$B$14,0),FALSE)</f>
        <v>38.017940139385395</v>
      </c>
    </row>
    <row r="15" spans="1:23" x14ac:dyDescent="0.2">
      <c r="A15" s="15" t="s">
        <v>53</v>
      </c>
      <c r="B15" s="16">
        <f t="shared" ref="B15:B22" si="4">B14+1</f>
        <v>2008</v>
      </c>
      <c r="C15" s="13">
        <f>HLOOKUP("Price Inflation",'[2]Historical Yearly Input'!$2:$14,MATCH($B15,'[2]Historical Yearly Input'!$B$2:$B$14,0),FALSE)</f>
        <v>2.3750000000000004E-2</v>
      </c>
      <c r="D15" s="13">
        <f>HLOOKUP("Price Inflation",'[2]Historical Yearly Input'!$2:$14,MATCH($B15,'[2]Historical Yearly Input'!$B$2:$B$14,0),FALSE)</f>
        <v>2.3750000000000004E-2</v>
      </c>
      <c r="E15" s="31">
        <f>HLOOKUP("Canadian Dollar",'[2]Historical Yearly Input'!$2:$14,MATCH($B15,'[2]Historical Yearly Input'!$B$2:$B$14,0),FALSE)</f>
        <v>0.9428333333333333</v>
      </c>
      <c r="F15" s="32">
        <f t="shared" si="0"/>
        <v>102.30947898144758</v>
      </c>
      <c r="G15" s="17">
        <f>HLOOKUP("WTI",'[2]Historical Yearly Input'!$2:$14,MATCH($B15,'[2]Historical Yearly Input'!$B$2:$B$14,0),FALSE)</f>
        <v>99.571666666666644</v>
      </c>
      <c r="H15" s="17">
        <f t="shared" si="1"/>
        <v>105.62315325004982</v>
      </c>
      <c r="I15" s="17">
        <f>HLOOKUP("Edmonton Light",'[2]Historical Yearly Input'!$2:$14,MATCH($B15,'[2]Historical Yearly Input'!$B$2:$B$14,0),FALSE)</f>
        <v>102.79666666666668</v>
      </c>
      <c r="J15" s="17">
        <f>HLOOKUP("Hardisty WCS",'[2]Historical Yearly Input'!$2:$14,MATCH($B15,'[2]Historical Yearly Input'!$B$2:$B$14,0),FALSE)</f>
        <v>82.94583333333334</v>
      </c>
      <c r="K15" s="17">
        <f>HLOOKUP("Hardisty Bow River",'[2]Historical Yearly Input'!$2:$14,MATCH($B15,'[2]Historical Yearly Input'!$B$2:$B$14,0),FALSE)</f>
        <v>83.901666666666671</v>
      </c>
      <c r="L15" s="17">
        <f>HLOOKUP("Hardisty Heavy",'[2]Historical Yearly Input'!$2:$14,MATCH($B15,'[2]Historical Yearly Input'!$B$2:$B$14,0),FALSE)</f>
        <v>73.075833333333307</v>
      </c>
      <c r="M15" s="34">
        <f>HLOOKUP("Ethane FOB Edmonton",'[2]Historical Yearly Input'!$2:$14,MATCH($B15,'[2]Historical Yearly Input'!$B$2:$B$14,0),FALSE)</f>
        <v>22.590000000000003</v>
      </c>
      <c r="N15" s="35">
        <f>HLOOKUP("Propane FOB Edmonton",'[2]Historical Yearly Input'!$2:$14,MATCH($B15,'[2]Historical Yearly Input'!$B$2:$B$14,0),FALSE)</f>
        <v>56.956216931216936</v>
      </c>
      <c r="O15" s="35">
        <f>HLOOKUP("Butane FOB Edmonton",'[2]Historical Yearly Input'!$2:$14,MATCH($B15,'[2]Historical Yearly Input'!$B$2:$B$14,0),FALSE)</f>
        <v>83.537801295784263</v>
      </c>
      <c r="P15" s="36">
        <f>HLOOKUP("Condensate FOB Edmonton",'[2]Historical Yearly Input'!$2:$14,MATCH($B15,'[2]Historical Yearly Input'!$B$2:$B$14,0),FALSE)</f>
        <v>109.76999895649095</v>
      </c>
      <c r="Q15" s="37">
        <f>HLOOKUP("Alberta Gas Reference",'[2]Historical Yearly Input'!$2:$14,MATCH($B15,'[2]Historical Yearly Input'!$B$2:$B$14,0),FALSE)</f>
        <v>7.876216358333334</v>
      </c>
      <c r="R15" s="17">
        <f t="shared" si="2"/>
        <v>8.3800852885813235</v>
      </c>
      <c r="S15" s="37">
        <f>HLOOKUP("AECO-C Spot",'[2]Historical Yearly Input'!$2:$14,MATCH($B15,'[2]Historical Yearly Input'!$B$2:$B$14,0),FALSE)</f>
        <v>8.1558333333333355</v>
      </c>
      <c r="T15" s="37">
        <f>HLOOKUP("BC Westcoast Station 2",'[2]Historical Yearly Input'!$2:$14,MATCH($B15,'[2]Historical Yearly Input'!$B$2:$B$14,0),FALSE)</f>
        <v>8.2033333333333349</v>
      </c>
      <c r="U15" s="17">
        <f t="shared" si="3"/>
        <v>9.1053261427172547</v>
      </c>
      <c r="V15" s="38">
        <f>HLOOKUP("NYMEX Henry Hub",'[2]Historical Yearly Input'!$2:$14,MATCH($B15,'[2]Historical Yearly Input'!$B$2:$B$14,0),FALSE)</f>
        <v>8.8616666666666664</v>
      </c>
      <c r="W15" s="40">
        <f>HLOOKUP("Sulphur Alberta Plantgate",'[2]Historical Yearly Input'!$2:$14,MATCH($B15,'[2]Historical Yearly Input'!$B$2:$B$14,0),FALSE)</f>
        <v>303.82854653251599</v>
      </c>
    </row>
    <row r="16" spans="1:23" x14ac:dyDescent="0.2">
      <c r="A16" s="15" t="s">
        <v>54</v>
      </c>
      <c r="B16" s="16">
        <f t="shared" si="4"/>
        <v>2009</v>
      </c>
      <c r="C16" s="13">
        <f>HLOOKUP("Price Inflation",'[2]Historical Yearly Input'!$2:$14,MATCH($B16,'[2]Historical Yearly Input'!$B$2:$B$14,0),FALSE)</f>
        <v>3.0833333333333338E-3</v>
      </c>
      <c r="D16" s="13">
        <f>HLOOKUP("Price Inflation",'[2]Historical Yearly Input'!$2:$14,MATCH($B16,'[2]Historical Yearly Input'!$B$2:$B$14,0),FALSE)</f>
        <v>3.0833333333333338E-3</v>
      </c>
      <c r="E16" s="31">
        <f>HLOOKUP("Canadian Dollar",'[2]Historical Yearly Input'!$2:$14,MATCH($B16,'[2]Historical Yearly Input'!$B$2:$B$14,0),FALSE)</f>
        <v>0.87974999999999992</v>
      </c>
      <c r="F16" s="32">
        <f t="shared" si="0"/>
        <v>62.951756691311488</v>
      </c>
      <c r="G16" s="17">
        <f>HLOOKUP("WTI",'[2]Historical Yearly Input'!$2:$14,MATCH($B16,'[2]Historical Yearly Input'!$B$2:$B$14,0),FALSE)</f>
        <v>61.654166666666676</v>
      </c>
      <c r="H16" s="17">
        <f t="shared" si="1"/>
        <v>67.486903858503354</v>
      </c>
      <c r="I16" s="17">
        <f>HLOOKUP("Edmonton Light",'[2]Historical Yearly Input'!$2:$14,MATCH($B16,'[2]Historical Yearly Input'!$B$2:$B$14,0),FALSE)</f>
        <v>66.095833333333346</v>
      </c>
      <c r="J16" s="17">
        <f>HLOOKUP("Hardisty WCS",'[2]Historical Yearly Input'!$2:$14,MATCH($B16,'[2]Historical Yearly Input'!$B$2:$B$14,0),FALSE)</f>
        <v>58.656666666666666</v>
      </c>
      <c r="K16" s="17">
        <f>HLOOKUP("Hardisty Bow River",'[2]Historical Yearly Input'!$2:$14,MATCH($B16,'[2]Historical Yearly Input'!$B$2:$B$14,0),FALSE)</f>
        <v>59.797499999999992</v>
      </c>
      <c r="L16" s="17">
        <f>HLOOKUP("Hardisty Heavy",'[2]Historical Yearly Input'!$2:$14,MATCH($B16,'[2]Historical Yearly Input'!$B$2:$B$14,0),FALSE)</f>
        <v>54.396666666666668</v>
      </c>
      <c r="M16" s="34">
        <f>HLOOKUP("Ethane FOB Edmonton",'[2]Historical Yearly Input'!$2:$14,MATCH($B16,'[2]Historical Yearly Input'!$B$2:$B$14,0),FALSE)</f>
        <v>11.610833333333334</v>
      </c>
      <c r="N16" s="35">
        <f>HLOOKUP("Propane FOB Edmonton",'[2]Historical Yearly Input'!$2:$14,MATCH($B16,'[2]Historical Yearly Input'!$B$2:$B$14,0),FALSE)</f>
        <v>34.61507936507936</v>
      </c>
      <c r="O16" s="35">
        <f>HLOOKUP("Butane FOB Edmonton",'[2]Historical Yearly Input'!$2:$14,MATCH($B16,'[2]Historical Yearly Input'!$B$2:$B$14,0),FALSE)</f>
        <v>56.212676325495003</v>
      </c>
      <c r="P16" s="36">
        <f>HLOOKUP("Condensate FOB Edmonton",'[2]Historical Yearly Input'!$2:$14,MATCH($B16,'[2]Historical Yearly Input'!$B$2:$B$14,0),FALSE)</f>
        <v>69.49081526659009</v>
      </c>
      <c r="Q16" s="37">
        <f>HLOOKUP("Alberta Gas Reference",'[2]Historical Yearly Input'!$2:$14,MATCH($B16,'[2]Historical Yearly Input'!$B$2:$B$14,0),FALSE)</f>
        <v>3.8467082125000007</v>
      </c>
      <c r="R16" s="17">
        <f t="shared" si="2"/>
        <v>4.0441940873664048</v>
      </c>
      <c r="S16" s="37">
        <f>HLOOKUP("AECO-C Spot",'[2]Historical Yearly Input'!$2:$14,MATCH($B16,'[2]Historical Yearly Input'!$B$2:$B$14,0),FALSE)</f>
        <v>3.960833333333333</v>
      </c>
      <c r="T16" s="37">
        <f>HLOOKUP("BC Westcoast Station 2",'[2]Historical Yearly Input'!$2:$14,MATCH($B16,'[2]Historical Yearly Input'!$B$2:$B$14,0),FALSE)</f>
        <v>4.1725000000000003</v>
      </c>
      <c r="U16" s="17">
        <f t="shared" si="3"/>
        <v>4.031431009034721</v>
      </c>
      <c r="V16" s="38">
        <f>HLOOKUP("NYMEX Henry Hub",'[2]Historical Yearly Input'!$2:$14,MATCH($B16,'[2]Historical Yearly Input'!$B$2:$B$14,0),FALSE)</f>
        <v>3.9483333333333337</v>
      </c>
      <c r="W16" s="40">
        <f>HLOOKUP("Sulphur Alberta Plantgate",'[2]Historical Yearly Input'!$2:$14,MATCH($B16,'[2]Historical Yearly Input'!$B$2:$B$14,0),FALSE)</f>
        <v>-5.0836220261657843</v>
      </c>
    </row>
    <row r="17" spans="1:23" x14ac:dyDescent="0.2">
      <c r="A17" s="15" t="s">
        <v>55</v>
      </c>
      <c r="B17" s="16">
        <f t="shared" si="4"/>
        <v>2010</v>
      </c>
      <c r="C17" s="13">
        <f>HLOOKUP("Price Inflation",'[2]Historical Yearly Input'!$2:$14,MATCH($B17,'[2]Historical Yearly Input'!$B$2:$B$14,0),FALSE)</f>
        <v>1.7583333333333329E-2</v>
      </c>
      <c r="D17" s="13">
        <f>HLOOKUP("Price Inflation",'[2]Historical Yearly Input'!$2:$14,MATCH($B17,'[2]Historical Yearly Input'!$B$2:$B$14,0),FALSE)</f>
        <v>1.7583333333333329E-2</v>
      </c>
      <c r="E17" s="31">
        <f>HLOOKUP("Canadian Dollar",'[2]Historical Yearly Input'!$2:$14,MATCH($B17,'[2]Historical Yearly Input'!$B$2:$B$14,0),FALSE)</f>
        <v>0.97091666666666665</v>
      </c>
      <c r="F17" s="32">
        <f t="shared" si="0"/>
        <v>83.243963875541226</v>
      </c>
      <c r="G17" s="17">
        <f>HLOOKUP("WTI",'[2]Historical Yearly Input'!$2:$14,MATCH($B17,'[2]Historical Yearly Input'!$B$2:$B$14,0),FALSE)</f>
        <v>79.39500000000001</v>
      </c>
      <c r="H17" s="17">
        <f t="shared" si="1"/>
        <v>81.57600906060317</v>
      </c>
      <c r="I17" s="17">
        <f>HLOOKUP("Edmonton Light",'[2]Historical Yearly Input'!$2:$14,MATCH($B17,'[2]Historical Yearly Input'!$B$2:$B$14,0),FALSE)</f>
        <v>77.804166666666674</v>
      </c>
      <c r="J17" s="17">
        <f>HLOOKUP("Hardisty WCS",'[2]Historical Yearly Input'!$2:$14,MATCH($B17,'[2]Historical Yearly Input'!$B$2:$B$14,0),FALSE)</f>
        <v>67.222500000000011</v>
      </c>
      <c r="K17" s="17">
        <f>HLOOKUP("Hardisty Bow River",'[2]Historical Yearly Input'!$2:$14,MATCH($B17,'[2]Historical Yearly Input'!$B$2:$B$14,0),FALSE)</f>
        <v>68.181666666666672</v>
      </c>
      <c r="L17" s="17">
        <f>HLOOKUP("Hardisty Heavy",'[2]Historical Yearly Input'!$2:$14,MATCH($B17,'[2]Historical Yearly Input'!$B$2:$B$14,0),FALSE)</f>
        <v>60.622500000000002</v>
      </c>
      <c r="M17" s="34">
        <f>HLOOKUP("Ethane FOB Edmonton",'[2]Historical Yearly Input'!$2:$14,MATCH($B17,'[2]Historical Yearly Input'!$B$2:$B$14,0),FALSE)</f>
        <v>11.534166666666666</v>
      </c>
      <c r="N17" s="35">
        <f>HLOOKUP("Propane FOB Edmonton",'[2]Historical Yearly Input'!$2:$14,MATCH($B17,'[2]Historical Yearly Input'!$B$2:$B$14,0),FALSE)</f>
        <v>45.188756613756617</v>
      </c>
      <c r="O17" s="35">
        <f>HLOOKUP("Butane FOB Edmonton",'[2]Historical Yearly Input'!$2:$14,MATCH($B17,'[2]Historical Yearly Input'!$B$2:$B$14,0),FALSE)</f>
        <v>68.786331111580481</v>
      </c>
      <c r="P17" s="36">
        <f>HLOOKUP("Condensate FOB Edmonton",'[2]Historical Yearly Input'!$2:$14,MATCH($B17,'[2]Historical Yearly Input'!$B$2:$B$14,0),FALSE)</f>
        <v>84.01903000273856</v>
      </c>
      <c r="Q17" s="37">
        <f>HLOOKUP("Alberta Gas Reference",'[2]Historical Yearly Input'!$2:$14,MATCH($B17,'[2]Historical Yearly Input'!$B$2:$B$14,0),FALSE)</f>
        <v>3.7649755499999995</v>
      </c>
      <c r="R17" s="17">
        <f t="shared" si="2"/>
        <v>4.2043994601791086</v>
      </c>
      <c r="S17" s="37">
        <f>HLOOKUP("AECO-C Spot",'[2]Historical Yearly Input'!$2:$14,MATCH($B17,'[2]Historical Yearly Input'!$B$2:$B$14,0),FALSE)</f>
        <v>4.0100000000000007</v>
      </c>
      <c r="T17" s="37">
        <f>HLOOKUP("BC Westcoast Station 2",'[2]Historical Yearly Input'!$2:$14,MATCH($B17,'[2]Historical Yearly Input'!$B$2:$B$14,0),FALSE)</f>
        <v>4.0108333333333333</v>
      </c>
      <c r="U17" s="17">
        <f t="shared" si="3"/>
        <v>4.5993264252665895</v>
      </c>
      <c r="V17" s="38">
        <f>HLOOKUP("NYMEX Henry Hub",'[2]Historical Yearly Input'!$2:$14,MATCH($B17,'[2]Historical Yearly Input'!$B$2:$B$14,0),FALSE)</f>
        <v>4.3866666666666676</v>
      </c>
      <c r="W17" s="40">
        <f>HLOOKUP("Sulphur Alberta Plantgate",'[2]Historical Yearly Input'!$2:$14,MATCH($B17,'[2]Historical Yearly Input'!$B$2:$B$14,0),FALSE)</f>
        <v>56.943509681167143</v>
      </c>
    </row>
    <row r="18" spans="1:23" x14ac:dyDescent="0.2">
      <c r="A18" s="15" t="s">
        <v>56</v>
      </c>
      <c r="B18" s="16">
        <f t="shared" si="4"/>
        <v>2011</v>
      </c>
      <c r="C18" s="13">
        <f>HLOOKUP("Price Inflation",'[2]Historical Yearly Input'!$2:$14,MATCH($B18,'[2]Historical Yearly Input'!$B$2:$B$14,0),FALSE)</f>
        <v>2.9166666666666674E-2</v>
      </c>
      <c r="D18" s="13">
        <f>HLOOKUP("Price Inflation",'[2]Historical Yearly Input'!$2:$14,MATCH($B18,'[2]Historical Yearly Input'!$B$2:$B$14,0),FALSE)</f>
        <v>2.9166666666666674E-2</v>
      </c>
      <c r="E18" s="31">
        <f>HLOOKUP("Canadian Dollar",'[2]Historical Yearly Input'!$2:$14,MATCH($B18,'[2]Historical Yearly Input'!$B$2:$B$14,0),FALSE)</f>
        <v>1.0114999999999998</v>
      </c>
      <c r="F18" s="32">
        <f t="shared" si="0"/>
        <v>99.239902469281958</v>
      </c>
      <c r="G18" s="17">
        <f>HLOOKUP("WTI",'[2]Historical Yearly Input'!$2:$14,MATCH($B18,'[2]Historical Yearly Input'!$B$2:$B$14,0),FALSE)</f>
        <v>94.884166666666658</v>
      </c>
      <c r="H18" s="17">
        <f t="shared" si="1"/>
        <v>99.92409919545149</v>
      </c>
      <c r="I18" s="17">
        <f>HLOOKUP("Edmonton Light",'[2]Historical Yearly Input'!$2:$14,MATCH($B18,'[2]Historical Yearly Input'!$B$2:$B$14,0),FALSE)</f>
        <v>95.538333333333341</v>
      </c>
      <c r="J18" s="17">
        <f>HLOOKUP("Hardisty WCS",'[2]Historical Yearly Input'!$2:$14,MATCH($B18,'[2]Historical Yearly Input'!$B$2:$B$14,0),FALSE)</f>
        <v>77.115833333333327</v>
      </c>
      <c r="K18" s="17">
        <f>HLOOKUP("Hardisty Bow River",'[2]Historical Yearly Input'!$2:$14,MATCH($B18,'[2]Historical Yearly Input'!$B$2:$B$14,0),FALSE)</f>
        <v>78.418333333333337</v>
      </c>
      <c r="L18" s="17">
        <f>HLOOKUP("Hardisty Heavy",'[2]Historical Yearly Input'!$2:$14,MATCH($B18,'[2]Historical Yearly Input'!$B$2:$B$14,0),FALSE)</f>
        <v>69.594999999999985</v>
      </c>
      <c r="M18" s="34">
        <f>HLOOKUP("Ethane FOB Edmonton",'[2]Historical Yearly Input'!$2:$14,MATCH($B18,'[2]Historical Yearly Input'!$B$2:$B$14,0),FALSE)</f>
        <v>10.301666666666666</v>
      </c>
      <c r="N18" s="35">
        <f>HLOOKUP("Propane FOB Edmonton",'[2]Historical Yearly Input'!$2:$14,MATCH($B18,'[2]Historical Yearly Input'!$B$2:$B$14,0),FALSE)</f>
        <v>52.409920634920638</v>
      </c>
      <c r="O18" s="35">
        <f>HLOOKUP("Butane FOB Edmonton",'[2]Historical Yearly Input'!$2:$14,MATCH($B18,'[2]Historical Yearly Input'!$B$2:$B$14,0),FALSE)</f>
        <v>86.982788694205396</v>
      </c>
      <c r="P18" s="36">
        <f>HLOOKUP("Condensate FOB Edmonton",'[2]Historical Yearly Input'!$2:$14,MATCH($B18,'[2]Historical Yearly Input'!$B$2:$B$14,0),FALSE)</f>
        <v>105.23868017825465</v>
      </c>
      <c r="Q18" s="37">
        <f>HLOOKUP("Alberta Gas Reference",'[2]Historical Yearly Input'!$2:$14,MATCH($B18,'[2]Historical Yearly Input'!$B$2:$B$14,0),FALSE)</f>
        <v>3.4573795083333327</v>
      </c>
      <c r="R18" s="17">
        <f t="shared" si="2"/>
        <v>3.7983813154735229</v>
      </c>
      <c r="S18" s="37">
        <f>HLOOKUP("AECO-C Spot",'[2]Historical Yearly Input'!$2:$14,MATCH($B18,'[2]Historical Yearly Input'!$B$2:$B$14,0),FALSE)</f>
        <v>3.6316666666666664</v>
      </c>
      <c r="T18" s="37">
        <f>HLOOKUP("BC Westcoast Station 2",'[2]Historical Yearly Input'!$2:$14,MATCH($B18,'[2]Historical Yearly Input'!$B$2:$B$14,0),FALSE)</f>
        <v>3.3441666666666663</v>
      </c>
      <c r="U18" s="17">
        <f t="shared" si="3"/>
        <v>4.1836232937753355</v>
      </c>
      <c r="V18" s="38">
        <f>HLOOKUP("NYMEX Henry Hub",'[2]Historical Yearly Input'!$2:$14,MATCH($B18,'[2]Historical Yearly Input'!$B$2:$B$14,0),FALSE)</f>
        <v>4</v>
      </c>
      <c r="W18" s="40">
        <f>HLOOKUP("Sulphur Alberta Plantgate",'[2]Historical Yearly Input'!$2:$14,MATCH($B18,'[2]Historical Yearly Input'!$B$2:$B$14,0),FALSE)</f>
        <v>101.60216393634505</v>
      </c>
    </row>
    <row r="19" spans="1:23" x14ac:dyDescent="0.2">
      <c r="A19" s="15" t="s">
        <v>52</v>
      </c>
      <c r="B19" s="16">
        <f t="shared" si="4"/>
        <v>2012</v>
      </c>
      <c r="C19" s="13">
        <f>HLOOKUP("Price Inflation",'[2]Historical Yearly Input'!$2:$14,MATCH($B19,'[2]Historical Yearly Input'!$B$2:$B$14,0),FALSE)</f>
        <v>1.516666666666667E-2</v>
      </c>
      <c r="D19" s="13">
        <f>HLOOKUP("Price Inflation",'[2]Historical Yearly Input'!$2:$14,MATCH($B19,'[2]Historical Yearly Input'!$B$2:$B$14,0),FALSE)</f>
        <v>1.516666666666667E-2</v>
      </c>
      <c r="E19" s="31">
        <f>HLOOKUP("Canadian Dollar",'[2]Historical Yearly Input'!$2:$14,MATCH($B19,'[2]Historical Yearly Input'!$B$2:$B$14,0),FALSE)</f>
        <v>1.0008333333333332</v>
      </c>
      <c r="F19" s="32">
        <f t="shared" si="0"/>
        <v>96.467720666786022</v>
      </c>
      <c r="G19" s="17">
        <f>HLOOKUP("WTI",'[2]Historical Yearly Input'!$2:$14,MATCH($B19,'[2]Historical Yearly Input'!$B$2:$B$14,0),FALSE)</f>
        <v>94.11</v>
      </c>
      <c r="H19" s="41">
        <f t="shared" si="1"/>
        <v>88.740530843248436</v>
      </c>
      <c r="I19" s="17">
        <f>HLOOKUP("Edmonton Light",'[2]Historical Yearly Input'!$2:$14,MATCH($B19,'[2]Historical Yearly Input'!$B$2:$B$14,0),FALSE)</f>
        <v>86.571666666666658</v>
      </c>
      <c r="J19" s="17">
        <f>HLOOKUP("Hardisty WCS",'[2]Historical Yearly Input'!$2:$14,MATCH($B19,'[2]Historical Yearly Input'!$B$2:$B$14,0),FALSE)</f>
        <v>73.096666666666664</v>
      </c>
      <c r="K19" s="17">
        <f>HLOOKUP("Hardisty Bow River",'[2]Historical Yearly Input'!$2:$14,MATCH($B19,'[2]Historical Yearly Input'!$B$2:$B$14,0),FALSE)</f>
        <v>74.407500000000013</v>
      </c>
      <c r="L19" s="17">
        <f>HLOOKUP("Hardisty Heavy",'[2]Historical Yearly Input'!$2:$14,MATCH($B19,'[2]Historical Yearly Input'!$B$2:$B$14,0),FALSE)</f>
        <v>64.06750000000001</v>
      </c>
      <c r="M19" s="34">
        <f>HLOOKUP("Ethane FOB Edmonton",'[2]Historical Yearly Input'!$2:$14,MATCH($B19,'[2]Historical Yearly Input'!$B$2:$B$14,0),FALSE)</f>
        <v>6.7322407922500007</v>
      </c>
      <c r="N19" s="35">
        <f>HLOOKUP("Propane FOB Edmonton",'[2]Historical Yearly Input'!$2:$14,MATCH($B19,'[2]Historical Yearly Input'!$B$2:$B$14,0),FALSE)</f>
        <v>30.795899470899474</v>
      </c>
      <c r="O19" s="35">
        <f>HLOOKUP("Butane FOB Edmonton",'[2]Historical Yearly Input'!$2:$14,MATCH($B19,'[2]Historical Yearly Input'!$B$2:$B$14,0),FALSE)</f>
        <v>75.471573262525212</v>
      </c>
      <c r="P19" s="36">
        <f>HLOOKUP("Condensate FOB Edmonton",'[2]Historical Yearly Input'!$2:$14,MATCH($B19,'[2]Historical Yearly Input'!$B$2:$B$14,0),FALSE)</f>
        <v>99.666236020554493</v>
      </c>
      <c r="Q19" s="37">
        <f>HLOOKUP("Alberta Gas Reference",'[2]Historical Yearly Input'!$2:$14,MATCH($B19,'[2]Historical Yearly Input'!$B$2:$B$14,0),FALSE)</f>
        <v>2.2524818708333334</v>
      </c>
      <c r="R19" s="17">
        <f t="shared" si="2"/>
        <v>2.4498762341262208</v>
      </c>
      <c r="S19" s="37">
        <f>HLOOKUP("AECO-C Spot",'[2]Historical Yearly Input'!$2:$14,MATCH($B19,'[2]Historical Yearly Input'!$B$2:$B$14,0),FALSE)</f>
        <v>2.39</v>
      </c>
      <c r="T19" s="37">
        <f>HLOOKUP("BC Westcoast Station 2",'[2]Historical Yearly Input'!$2:$14,MATCH($B19,'[2]Historical Yearly Input'!$B$2:$B$14,0),FALSE)</f>
        <v>2.2925</v>
      </c>
      <c r="U19" s="17">
        <f t="shared" si="3"/>
        <v>2.8214578805156578</v>
      </c>
      <c r="V19" s="38">
        <f>HLOOKUP("NYMEX Henry Hub",'[2]Historical Yearly Input'!$2:$14,MATCH($B19,'[2]Historical Yearly Input'!$B$2:$B$14,0),FALSE)</f>
        <v>2.7524999999999999</v>
      </c>
      <c r="W19" s="40">
        <f>HLOOKUP("Sulphur Alberta Plantgate",'[2]Historical Yearly Input'!$2:$14,MATCH($B19,'[2]Historical Yearly Input'!$B$2:$B$14,0),FALSE)</f>
        <v>126.80944430626204</v>
      </c>
    </row>
    <row r="20" spans="1:23" x14ac:dyDescent="0.2">
      <c r="A20" s="15" t="s">
        <v>57</v>
      </c>
      <c r="B20" s="16">
        <f t="shared" si="4"/>
        <v>2013</v>
      </c>
      <c r="C20" s="13">
        <f>HLOOKUP("Price Inflation",'[2]Historical Yearly Input'!$2:$14,MATCH($B20,'[2]Historical Yearly Input'!$B$2:$B$14,0),FALSE)</f>
        <v>9.4166666666666652E-3</v>
      </c>
      <c r="D20" s="13">
        <f>HLOOKUP("Price Inflation",'[2]Historical Yearly Input'!$2:$14,MATCH($B20,'[2]Historical Yearly Input'!$B$2:$B$14,0),FALSE)</f>
        <v>9.4166666666666652E-3</v>
      </c>
      <c r="E20" s="31">
        <f>HLOOKUP("Canadian Dollar",'[2]Historical Yearly Input'!$2:$14,MATCH($B20,'[2]Historical Yearly Input'!$B$2:$B$14,0),FALSE)</f>
        <v>0.97175</v>
      </c>
      <c r="F20" s="32">
        <f t="shared" si="0"/>
        <v>100.75936874403133</v>
      </c>
      <c r="G20" s="17">
        <f>HLOOKUP("WTI",'[2]Historical Yearly Input'!$2:$14,MATCH($B20,'[2]Historical Yearly Input'!$B$2:$B$14,0),FALSE)</f>
        <v>97.90583333333332</v>
      </c>
      <c r="H20" s="17">
        <f t="shared" si="1"/>
        <v>96.077613367064799</v>
      </c>
      <c r="I20" s="17">
        <f>HLOOKUP("Edmonton Light",'[2]Historical Yearly Input'!$2:$14,MATCH($B20,'[2]Historical Yearly Input'!$B$2:$B$14,0),FALSE)</f>
        <v>93.356666666666641</v>
      </c>
      <c r="J20" s="17">
        <f>HLOOKUP("Hardisty WCS",'[2]Historical Yearly Input'!$2:$14,MATCH($B20,'[2]Historical Yearly Input'!$B$2:$B$14,0),FALSE)</f>
        <v>74.964999999999989</v>
      </c>
      <c r="K20" s="17">
        <f>HLOOKUP("Hardisty Bow River",'[2]Historical Yearly Input'!$2:$14,MATCH($B20,'[2]Historical Yearly Input'!$B$2:$B$14,0),FALSE)</f>
        <v>76.288333333333341</v>
      </c>
      <c r="L20" s="17">
        <f>HLOOKUP("Hardisty Heavy",'[2]Historical Yearly Input'!$2:$14,MATCH($B20,'[2]Historical Yearly Input'!$B$2:$B$14,0),FALSE)</f>
        <v>65.489999999999995</v>
      </c>
      <c r="M20" s="34">
        <f>HLOOKUP("Ethane FOB Edmonton",'[2]Historical Yearly Input'!$2:$14,MATCH($B20,'[2]Historical Yearly Input'!$B$2:$B$14,0),FALSE)</f>
        <v>8.6760967282787576</v>
      </c>
      <c r="N20" s="35">
        <f>HLOOKUP("Propane FOB Edmonton",'[2]Historical Yearly Input'!$2:$14,MATCH($B20,'[2]Historical Yearly Input'!$B$2:$B$14,0),FALSE)</f>
        <v>38.536640211640211</v>
      </c>
      <c r="O20" s="35">
        <f>HLOOKUP("Butane FOB Edmonton",'[2]Historical Yearly Input'!$2:$14,MATCH($B20,'[2]Historical Yearly Input'!$B$2:$B$14,0),FALSE)</f>
        <v>77.435789119287008</v>
      </c>
      <c r="P20" s="36">
        <f>HLOOKUP("Condensate FOB Edmonton",'[2]Historical Yearly Input'!$2:$14,MATCH($B20,'[2]Historical Yearly Input'!$B$2:$B$14,0),FALSE)</f>
        <v>103.51900907958799</v>
      </c>
      <c r="Q20" s="37">
        <f>HLOOKUP("Alberta Gas Reference",'[2]Historical Yearly Input'!$2:$14,MATCH($B20,'[2]Historical Yearly Input'!$B$2:$B$14,0),FALSE)</f>
        <v>2.980166220833333</v>
      </c>
      <c r="R20" s="17">
        <f t="shared" si="2"/>
        <v>3.2653078260235171</v>
      </c>
      <c r="S20" s="37">
        <f>HLOOKUP("AECO-C Spot",'[2]Historical Yearly Input'!$2:$14,MATCH($B20,'[2]Historical Yearly Input'!$B$2:$B$14,0),FALSE)</f>
        <v>3.1728333333333332</v>
      </c>
      <c r="T20" s="37">
        <f>HLOOKUP("BC Westcoast Station 2",'[2]Historical Yearly Input'!$2:$14,MATCH($B20,'[2]Historical Yearly Input'!$B$2:$B$14,0),FALSE)</f>
        <v>3.1071201414007361</v>
      </c>
      <c r="U20" s="17">
        <f t="shared" si="3"/>
        <v>3.8369982701132574</v>
      </c>
      <c r="V20" s="38">
        <f>HLOOKUP("NYMEX Henry Hub",'[2]Historical Yearly Input'!$2:$14,MATCH($B20,'[2]Historical Yearly Input'!$B$2:$B$14,0),FALSE)</f>
        <v>3.7283333333333335</v>
      </c>
      <c r="W20" s="40">
        <f>HLOOKUP("Sulphur Alberta Plantgate",'[2]Historical Yearly Input'!$2:$14,MATCH($B20,'[2]Historical Yearly Input'!$B$2:$B$14,0),FALSE)</f>
        <v>62.172765116476931</v>
      </c>
    </row>
    <row r="21" spans="1:23" x14ac:dyDescent="0.2">
      <c r="A21" s="15" t="s">
        <v>58</v>
      </c>
      <c r="B21" s="16">
        <f t="shared" si="4"/>
        <v>2014</v>
      </c>
      <c r="C21" s="13">
        <f>HLOOKUP("Price Inflation",'[2]Historical Yearly Input'!$2:$14,MATCH($B21,'[2]Historical Yearly Input'!$B$2:$B$14,0),FALSE)</f>
        <v>1.9083333333333327E-2</v>
      </c>
      <c r="D21" s="13">
        <f>HLOOKUP("Price Inflation",'[2]Historical Yearly Input'!$2:$14,MATCH($B21,'[2]Historical Yearly Input'!$B$2:$B$14,0),FALSE)</f>
        <v>1.9083333333333327E-2</v>
      </c>
      <c r="E21" s="31">
        <f>HLOOKUP("Canadian Dollar",'[2]Historical Yearly Input'!$2:$14,MATCH($B21,'[2]Historical Yearly Input'!$B$2:$B$14,0),FALSE)</f>
        <v>0.90549999999999997</v>
      </c>
      <c r="F21" s="32">
        <f>G21/((1-$C21)*(1-$C22))</f>
        <v>96.154372834048317</v>
      </c>
      <c r="G21" s="17">
        <f>HLOOKUP("WTI",'[2]Historical Yearly Input'!$2:$14,MATCH($B21,'[2]Historical Yearly Input'!$B$2:$B$14,0),FALSE)</f>
        <v>93.258333333333326</v>
      </c>
      <c r="H21" s="17">
        <f>I21/((1-$C21)*(1-$C22))</f>
        <v>96.914464956216875</v>
      </c>
      <c r="I21" s="17">
        <f>HLOOKUP("Edmonton Light",'[2]Historical Yearly Input'!$2:$14,MATCH($B21,'[2]Historical Yearly Input'!$B$2:$B$14,0),FALSE)</f>
        <v>93.995532510073588</v>
      </c>
      <c r="J21" s="17">
        <f>HLOOKUP("Hardisty WCS",'[2]Historical Yearly Input'!$2:$14,MATCH($B21,'[2]Historical Yearly Input'!$B$2:$B$14,0),FALSE)</f>
        <v>81.064024828893665</v>
      </c>
      <c r="K21" s="17">
        <f>HLOOKUP("Hardisty Bow River",'[2]Historical Yearly Input'!$2:$14,MATCH($B21,'[2]Historical Yearly Input'!$B$2:$B$14,0),FALSE)</f>
        <v>81.487892764615609</v>
      </c>
      <c r="L21" s="17">
        <f>HLOOKUP("Hardisty Heavy",'[2]Historical Yearly Input'!$2:$14,MATCH($B21,'[2]Historical Yearly Input'!$B$2:$B$14,0),FALSE)</f>
        <v>73.695736102922822</v>
      </c>
      <c r="M21" s="34">
        <f>HLOOKUP("Ethane FOB Edmonton",'[2]Historical Yearly Input'!$2:$14,MATCH($B21,'[2]Historical Yearly Input'!$B$2:$B$14,0),FALSE)</f>
        <v>12.461493011698076</v>
      </c>
      <c r="N21" s="35">
        <f>HLOOKUP("Propane FOB Edmonton",'[2]Historical Yearly Input'!$2:$14,MATCH($B21,'[2]Historical Yearly Input'!$B$2:$B$14,0),FALSE)</f>
        <v>42.931481481481484</v>
      </c>
      <c r="O21" s="35">
        <f>HLOOKUP("Butane FOB Edmonton",'[2]Historical Yearly Input'!$2:$14,MATCH($B21,'[2]Historical Yearly Input'!$B$2:$B$14,0),FALSE)</f>
        <v>59.431491718849024</v>
      </c>
      <c r="P21" s="36">
        <f>HLOOKUP("Condensate FOB Edmonton",'[2]Historical Yearly Input'!$2:$14,MATCH($B21,'[2]Historical Yearly Input'!$B$2:$B$14,0),FALSE)</f>
        <v>101.47330762169462</v>
      </c>
      <c r="Q21" s="37">
        <f>HLOOKUP("Alberta Gas Reference",'[2]Historical Yearly Input'!$2:$14,MATCH($B21,'[2]Historical Yearly Input'!$B$2:$B$14,0),FALSE)</f>
        <v>4.2167023083333346</v>
      </c>
      <c r="R21" s="17">
        <f>S21/((1-$C21)*(1-$C22))</f>
        <v>4.6442965908308587</v>
      </c>
      <c r="S21" s="37">
        <f>HLOOKUP("AECO-C Spot",'[2]Historical Yearly Input'!$2:$14,MATCH($B21,'[2]Historical Yearly Input'!$B$2:$B$14,0),FALSE)</f>
        <v>4.5044166666666667</v>
      </c>
      <c r="T21" s="37">
        <f>HLOOKUP("BC Westcoast Station 2",'[2]Historical Yearly Input'!$2:$14,MATCH($B21,'[2]Historical Yearly Input'!$B$2:$B$14,0),FALSE)</f>
        <v>4.1583306505720055</v>
      </c>
      <c r="U21" s="17">
        <f>V21/((1-$C21)*(1-$C22))</f>
        <v>4.528045258113079</v>
      </c>
      <c r="V21" s="38">
        <f>HLOOKUP("NYMEX Henry Hub",'[2]Historical Yearly Input'!$2:$14,MATCH($B21,'[2]Historical Yearly Input'!$B$2:$B$14,0),FALSE)</f>
        <v>4.3916666666666666</v>
      </c>
      <c r="W21" s="40">
        <f>HLOOKUP("Sulphur Alberta Plantgate",'[2]Historical Yearly Input'!$2:$14,MATCH($B21,'[2]Historical Yearly Input'!$B$2:$B$14,0),FALSE)</f>
        <v>88.993866869117412</v>
      </c>
    </row>
    <row r="22" spans="1:23" ht="13.5" thickBot="1" x14ac:dyDescent="0.25">
      <c r="A22" s="42" t="s">
        <v>59</v>
      </c>
      <c r="B22" s="43">
        <f t="shared" si="4"/>
        <v>2015</v>
      </c>
      <c r="C22" s="44">
        <f>HLOOKUP("Price Inflation",'[2]Historical Yearly Input'!$2:$14,MATCH($B22,'[2]Historical Yearly Input'!$B$2:$B$14,0),FALSE)</f>
        <v>1.1250000000000001E-2</v>
      </c>
      <c r="D22" s="44">
        <f>HLOOKUP("Price Inflation",'[2]Historical Yearly Input'!$2:$14,MATCH($B22,'[2]Historical Yearly Input'!$B$2:$B$14,0),FALSE)</f>
        <v>1.1250000000000001E-2</v>
      </c>
      <c r="E22" s="45">
        <f>HLOOKUP("Canadian Dollar",'[2]Historical Yearly Input'!$2:$14,MATCH($B22,'[2]Historical Yearly Input'!$B$2:$B$14,0),FALSE)</f>
        <v>0.78316666666666668</v>
      </c>
      <c r="F22" s="46">
        <f>G22/((1-$C22))</f>
        <v>49.241466498103662</v>
      </c>
      <c r="G22" s="47">
        <f>HLOOKUP("WTI",'[2]Historical Yearly Input'!$2:$14,MATCH($B22,'[2]Historical Yearly Input'!$B$2:$B$14,0),FALSE)</f>
        <v>48.6875</v>
      </c>
      <c r="H22" s="47">
        <f>I22/((1-$C22))</f>
        <v>57.646361985374348</v>
      </c>
      <c r="I22" s="47">
        <f>HLOOKUP("Edmonton Light",'[2]Historical Yearly Input'!$2:$14,MATCH($B22,'[2]Historical Yearly Input'!$B$2:$B$14,0),FALSE)</f>
        <v>56.997840413038887</v>
      </c>
      <c r="J22" s="47">
        <f>HLOOKUP("Hardisty WCS",'[2]Historical Yearly Input'!$2:$14,MATCH($B22,'[2]Historical Yearly Input'!$B$2:$B$14,0),FALSE)</f>
        <v>44.797506605479413</v>
      </c>
      <c r="K22" s="47">
        <f>HLOOKUP("Hardisty Bow River",'[2]Historical Yearly Input'!$2:$14,MATCH($B22,'[2]Historical Yearly Input'!$B$2:$B$14,0),FALSE)</f>
        <v>45.233309127411935</v>
      </c>
      <c r="L22" s="47">
        <f>HLOOKUP("Hardisty Heavy",'[2]Historical Yearly Input'!$2:$14,MATCH($B22,'[2]Historical Yearly Input'!$B$2:$B$14,0),FALSE)</f>
        <v>39.625643635887599</v>
      </c>
      <c r="M22" s="48">
        <f>HLOOKUP("Ethane FOB Edmonton",'[2]Historical Yearly Input'!$2:$14,MATCH($B22,'[2]Historical Yearly Input'!$B$2:$B$14,0),FALSE)</f>
        <v>7.4898866804369177</v>
      </c>
      <c r="N22" s="49">
        <f>HLOOKUP("Propane FOB Edmonton",'[2]Historical Yearly Input'!$2:$14,MATCH($B22,'[2]Historical Yearly Input'!$B$2:$B$14,0),FALSE)</f>
        <v>5.3465608465608474</v>
      </c>
      <c r="O22" s="49">
        <f>HLOOKUP("Butane FOB Edmonton",'[2]Historical Yearly Input'!$2:$14,MATCH($B22,'[2]Historical Yearly Input'!$B$2:$B$14,0),FALSE)</f>
        <v>33.704657740482119</v>
      </c>
      <c r="P22" s="50">
        <f>HLOOKUP("Condensate FOB Edmonton",'[2]Historical Yearly Input'!$2:$14,MATCH($B22,'[2]Historical Yearly Input'!$B$2:$B$14,0),FALSE)</f>
        <v>55.147068560662042</v>
      </c>
      <c r="Q22" s="51">
        <f>HLOOKUP("Alberta Gas Reference",'[2]Historical Yearly Input'!$2:$14,MATCH($B22,'[2]Historical Yearly Input'!$B$2:$B$14,0),FALSE)</f>
        <v>2.5556836833333336</v>
      </c>
      <c r="R22" s="47">
        <f>S22/((1-$C22))</f>
        <v>2.7222081753055196</v>
      </c>
      <c r="S22" s="51">
        <f>HLOOKUP("AECO-C Spot",'[2]Historical Yearly Input'!$2:$14,MATCH($B22,'[2]Historical Yearly Input'!$B$2:$B$14,0),FALSE)</f>
        <v>2.6915833333333326</v>
      </c>
      <c r="T22" s="51">
        <f>HLOOKUP("BC Westcoast Station 2",'[2]Historical Yearly Input'!$2:$14,MATCH($B22,'[2]Historical Yearly Input'!$B$2:$B$14,0),FALSE)</f>
        <v>1.8095820242085254</v>
      </c>
      <c r="U22" s="47">
        <f>V22/((1-$C22))</f>
        <v>2.6599241466498103</v>
      </c>
      <c r="V22" s="52">
        <f>HLOOKUP("NYMEX Henry Hub",'[2]Historical Yearly Input'!$2:$14,MATCH($B22,'[2]Historical Yearly Input'!$B$2:$B$14,0),FALSE)</f>
        <v>2.63</v>
      </c>
      <c r="W22" s="52">
        <f>HLOOKUP("Sulphur Alberta Plantgate",'[2]Historical Yearly Input'!$2:$14,MATCH($B22,'[2]Historical Yearly Input'!$B$2:$B$14,0),FALSE)</f>
        <v>107.45205477225102</v>
      </c>
    </row>
    <row r="23" spans="1:23" x14ac:dyDescent="0.2">
      <c r="A23" s="15" t="str">
        <f>MID(YEAR(EFFDATE),1,1)</f>
        <v>2</v>
      </c>
      <c r="B23" s="16" t="str">
        <f>(MONTH(EFFDATE))&amp;" Mths H"</f>
        <v>12 Mths H</v>
      </c>
      <c r="C23" s="13">
        <f>HLOOKUP("Price Inflation",'[2]Historical Yearly Input'!$2:$14,MATCH(YEAR(EFFDATE),'[2]Historical Yearly Input'!$B$2:$B$14,0),FALSE)</f>
        <v>1.55E-2</v>
      </c>
      <c r="D23" s="13">
        <f>HLOOKUP("Price Inflation",'[2]Historical Yearly Input'!$2:$14,MATCH(YEAR(EFFDATE),'[2]Historical Yearly Input'!$B$2:$B$14,0),FALSE)</f>
        <v>1.55E-2</v>
      </c>
      <c r="E23" s="31">
        <f>HLOOKUP("Canadian Dollar",'[2]Historical Yearly Input'!$2:$14,MATCH(YEAR(EFFDATE),'[2]Historical Yearly Input'!$B$2:$B$14,0),FALSE)</f>
        <v>0.75416666666666676</v>
      </c>
      <c r="F23" s="32">
        <f>HLOOKUP("WTI",'[2]Historical Yearly Input'!$2:$14,MATCH(YEAR(EFFDATE),'[2]Historical Yearly Input'!$B$2:$B$14,0),FALSE)</f>
        <v>42.977499999999999</v>
      </c>
      <c r="G23" s="17">
        <f>HLOOKUP("WTI",'[2]Historical Yearly Input'!$2:$14,MATCH(YEAR(EFFDATE),'[2]Historical Yearly Input'!$B$2:$B$14,0),FALSE)</f>
        <v>42.977499999999999</v>
      </c>
      <c r="H23" s="17">
        <f>HLOOKUP("Edmonton Light",'[2]Historical Yearly Input'!$2:$14,MATCH(YEAR(EFFDATE),'[2]Historical Yearly Input'!$B$2:$B$14,0),FALSE)</f>
        <v>52.244886948862103</v>
      </c>
      <c r="I23" s="17">
        <f>HLOOKUP("Edmonton Light",'[2]Historical Yearly Input'!$2:$14,MATCH(YEAR(EFFDATE),'[2]Historical Yearly Input'!$B$2:$B$14,0),FALSE)</f>
        <v>52.244886948862103</v>
      </c>
      <c r="J23" s="17">
        <f>HLOOKUP("Hardisty WCS",'[2]Historical Yearly Input'!$2:$14,MATCH(YEAR(EFFDATE),'[2]Historical Yearly Input'!$B$2:$B$14,0),FALSE)</f>
        <v>38.798393209149097</v>
      </c>
      <c r="K23" s="17">
        <f>HLOOKUP("Hardisty Bow River",'[2]Historical Yearly Input'!$2:$14,MATCH(YEAR(EFFDATE),'[2]Historical Yearly Input'!$B$2:$B$14,0),FALSE)</f>
        <v>39.130019196002614</v>
      </c>
      <c r="L23" s="17">
        <f>HLOOKUP("Hardisty Heavy",'[2]Historical Yearly Input'!$2:$14,MATCH(YEAR(EFFDATE),'[2]Historical Yearly Input'!$B$2:$B$14,0),FALSE)</f>
        <v>34.011223066785519</v>
      </c>
      <c r="M23" s="34">
        <f>HLOOKUP("Ethane FOB Edmonton",'[2]Historical Yearly Input'!$2:$14,MATCH(YEAR(EFFDATE),'[2]Historical Yearly Input'!$B$2:$B$14,0),FALSE)</f>
        <v>6.1375113994085657</v>
      </c>
      <c r="N23" s="35">
        <f>HLOOKUP("Propane FOB Edmonton",'[2]Historical Yearly Input'!$2:$14,MATCH(YEAR(EFFDATE),'[2]Historical Yearly Input'!$B$2:$B$14,0),FALSE)</f>
        <v>8.225205456785055</v>
      </c>
      <c r="O23" s="35">
        <f>HLOOKUP("Butane FOB Edmonton",'[2]Historical Yearly Input'!$2:$14,MATCH(YEAR(EFFDATE),'[2]Historical Yearly Input'!$B$2:$B$14,0),FALSE)</f>
        <v>30.751517050193787</v>
      </c>
      <c r="P23" s="36">
        <f>HLOOKUP("Condensate FOB Edmonton",'[2]Historical Yearly Input'!$2:$14,MATCH(YEAR(EFFDATE),'[2]Historical Yearly Input'!$B$2:$B$14,0),FALSE)</f>
        <v>52.207756055861978</v>
      </c>
      <c r="Q23" s="37">
        <f>HLOOKUP("Alberta Gas Reference",'[2]Historical Yearly Input'!$2:$14,MATCH(YEAR(EFFDATE),'[2]Historical Yearly Input'!$B$2:$B$14,0),FALSE)</f>
        <v>1.9637883110002832</v>
      </c>
      <c r="R23" s="17">
        <f>HLOOKUP("AECO-C Spot",'[2]Historical Yearly Input'!$2:$14,MATCH(YEAR(EFFDATE),'[2]Historical Yearly Input'!$B$2:$B$14,0),FALSE)</f>
        <v>2.196372948500283</v>
      </c>
      <c r="S23" s="37">
        <f>HLOOKUP("AECO-C Spot",'[2]Historical Yearly Input'!$2:$14,MATCH(YEAR(EFFDATE),'[2]Historical Yearly Input'!$B$2:$B$14,0),FALSE)</f>
        <v>2.196372948500283</v>
      </c>
      <c r="T23" s="37">
        <f>HLOOKUP("BC Westcoast Station 2",'[2]Historical Yearly Input'!$2:$14,MATCH(YEAR(EFFDATE),'[2]Historical Yearly Input'!$B$2:$B$14,0),FALSE)</f>
        <v>1.7653536945368558</v>
      </c>
      <c r="U23" s="37">
        <f>HLOOKUP("NYMEX Henry Hub",'[2]Historical Yearly Input'!$2:$14,MATCH(YEAR(EFFDATE),'[2]Historical Yearly Input'!$B$2:$B$14,0),FALSE)</f>
        <v>2.5029166666666671</v>
      </c>
      <c r="V23" s="38">
        <f>HLOOKUP("NYMEX Henry Hub",'[2]Historical Yearly Input'!$2:$14,MATCH(YEAR(EFFDATE),'[2]Historical Yearly Input'!$B$2:$B$14,0),FALSE)</f>
        <v>2.5029166666666671</v>
      </c>
      <c r="W23" s="38">
        <f>HLOOKUP("Sulphur Alberta Plantgate",'[2]Historical Yearly Input'!$2:$14,MATCH(YEAR(EFFDATE),'[2]Historical Yearly Input'!$B$2:$B$14,0),FALSE)</f>
        <v>48.394826112354757</v>
      </c>
    </row>
    <row r="24" spans="1:23" x14ac:dyDescent="0.2">
      <c r="A24" s="15" t="str">
        <f>MID(YEAR(EFFDATE),2,1)</f>
        <v>0</v>
      </c>
      <c r="B24" s="16" t="str">
        <f>(12-MONTH(EFFDATE))&amp;" Mths F"</f>
        <v>0 Mths F</v>
      </c>
      <c r="C24" s="13">
        <f>HLOOKUP("Price Inflation",'[2]Deloitte Forecast Input Esc'!$2:$53,2+'[2]Deloitte Forecast Input Esc'!A4,FALSE)</f>
        <v>0</v>
      </c>
      <c r="D24" s="13">
        <f>HLOOKUP("Price Inflation",'[2]Deloitte Forecast Input Esc'!$2:$53,2+'[2]Deloitte Forecast Input Esc'!A4,FALSE)</f>
        <v>0</v>
      </c>
      <c r="E24" s="31" t="str">
        <f>IF((12-MONTH(EFFDATE))=0,"-",HLOOKUP("Canadian Dollar",'[2]Deloitte Forecast Input Esc'!$2:$53,2+'[2]Deloitte Forecast Input Esc'!A4,FALSE))</f>
        <v>-</v>
      </c>
      <c r="F24" s="32" t="str">
        <f>IF((12-MONTH(EFFDATE))=0,"-",HLOOKUP("WTI",'[2]Deloitte Forecast Input Real'!$2:$53,2+'[2]Deloitte Forecast Input Real'!A4,FALSE))</f>
        <v>-</v>
      </c>
      <c r="G24" s="17" t="str">
        <f>IF((12-MONTH(EFFDATE))=0,"-",HLOOKUP("WTI",'[2]Deloitte Forecast Input Esc'!$2:$53,2+'[2]Deloitte Forecast Input Esc'!A4,FALSE))</f>
        <v>-</v>
      </c>
      <c r="H24" s="17" t="str">
        <f>IF((12-MONTH(EFFDATE))=0,"-",HLOOKUP("Edmonton Light",'[2]Deloitte Forecast Input Real'!$2:$53,2+'[2]Deloitte Forecast Input Real'!A4,FALSE))</f>
        <v>-</v>
      </c>
      <c r="I24" s="17" t="str">
        <f>IF((12-MONTH(EFFDATE))=0,"-",HLOOKUP("Edmonton Light",'[2]Deloitte Forecast Input Esc'!$2:$53,2+'[2]Deloitte Forecast Input Esc'!A4,FALSE))</f>
        <v>-</v>
      </c>
      <c r="J24" s="17" t="str">
        <f>IF((12-MONTH(EFFDATE))=0,"-",HLOOKUP("Hardisty WCS",'[2]Deloitte Forecast Input Esc'!$2:$53,2+'[2]Deloitte Forecast Input Esc'!A4,FALSE))</f>
        <v>-</v>
      </c>
      <c r="K24" s="17" t="str">
        <f>IF((12-MONTH(EFFDATE))=0,"-",HLOOKUP("Hardisty Bow River",'[2]Deloitte Forecast Input Esc'!$2:$53,2+'[2]Deloitte Forecast Input Esc'!A4,FALSE))</f>
        <v>-</v>
      </c>
      <c r="L24" s="17" t="str">
        <f>IF((12-MONTH(EFFDATE))=0,"-",HLOOKUP("Hardisty Heavy",'[2]Deloitte Forecast Input Esc'!$2:$53,2+'[2]Deloitte Forecast Input Esc'!A4,FALSE))</f>
        <v>-</v>
      </c>
      <c r="M24" s="34" t="str">
        <f>IF((12-MONTH(EFFDATE))=0,"-",HLOOKUP("Ethane FOB Edmonton",'[2]Deloitte Forecast Input Esc'!$2:$53,2+'[2]Deloitte Forecast Input Esc'!A4,FALSE))</f>
        <v>-</v>
      </c>
      <c r="N24" s="35" t="str">
        <f>IF((12-MONTH(EFFDATE))=0,"-",HLOOKUP("Propane FOB Edmonton",'[2]Deloitte Forecast Input Esc'!$2:$53,2+'[2]Deloitte Forecast Input Esc'!A4,FALSE))</f>
        <v>-</v>
      </c>
      <c r="O24" s="35" t="str">
        <f>IF((12-MONTH(EFFDATE))=0,"-",HLOOKUP("Butane FOB Edmonton",'[2]Deloitte Forecast Input Esc'!$2:$53,2+'[2]Deloitte Forecast Input Esc'!A4,FALSE))</f>
        <v>-</v>
      </c>
      <c r="P24" s="36" t="str">
        <f>IF((12-MONTH(EFFDATE))=0,"-",HLOOKUP("Condensate FOB Edmonton",'[2]Deloitte Forecast Input Esc'!$2:$53,2+'[2]Deloitte Forecast Input Esc'!A4,FALSE))</f>
        <v>-</v>
      </c>
      <c r="Q24" s="37" t="str">
        <f>IF((12-MONTH(EFFDATE))=0,"-",HLOOKUP("Alberta Gas Reference",'[2]Deloitte Forecast Input Esc'!$2:$53,2+'[2]Deloitte Forecast Input Esc'!A4,FALSE))</f>
        <v>-</v>
      </c>
      <c r="R24" s="37" t="str">
        <f>IF((12-MONTH(EFFDATE))=0,"-",HLOOKUP("AECO-C Spot",'[2]Deloitte Forecast Input Real'!$2:$53,2+'[2]Deloitte Forecast Input Real'!A4,FALSE))</f>
        <v>-</v>
      </c>
      <c r="S24" s="37" t="str">
        <f>IF((12-MONTH(EFFDATE))=0,"-",HLOOKUP("AECO-C Spot",'[2]Deloitte Forecast Input Esc'!$2:$53,2+'[2]Deloitte Forecast Input Esc'!A4,FALSE))</f>
        <v>-</v>
      </c>
      <c r="T24" s="37" t="str">
        <f>IF((12-MONTH(EFFDATE))=0,"-",HLOOKUP("BC Westcoast Station 2",'[2]Deloitte Forecast Input Esc'!$2:$53,2+'[2]Deloitte Forecast Input Esc'!A4,FALSE))</f>
        <v>-</v>
      </c>
      <c r="U24" s="37" t="str">
        <f>IF((12-MONTH(EFFDATE))=0,"-",HLOOKUP("NYMEX Henry Hub",'[2]Deloitte Forecast Input Real'!$2:$53,2+'[2]Deloitte Forecast Input Real'!A4,FALSE))</f>
        <v>-</v>
      </c>
      <c r="V24" s="38" t="str">
        <f>IF((12-MONTH(EFFDATE))=0,"-",HLOOKUP("NYMEX Henry Hub",'[2]Deloitte Forecast Input Esc'!$2:$53,2+'[2]Deloitte Forecast Input Esc'!A4,FALSE))</f>
        <v>-</v>
      </c>
      <c r="W24" s="38" t="str">
        <f>IF((12-MONTH(EFFDATE))=0,"-",HLOOKUP("Sulphur Alberta Plantgate",'[2]Deloitte Forecast Input Esc'!$2:$53,2+'[2]Deloitte Forecast Input Esc'!A4,FALSE))</f>
        <v>-</v>
      </c>
    </row>
    <row r="25" spans="1:23" x14ac:dyDescent="0.2">
      <c r="A25" s="15" t="str">
        <f>MID(YEAR(EFFDATE),3,1)</f>
        <v>1</v>
      </c>
      <c r="B25" s="53"/>
      <c r="C25" s="53"/>
      <c r="D25" s="53"/>
      <c r="E25" s="53"/>
      <c r="F25" s="11"/>
      <c r="G25" s="53"/>
      <c r="H25" s="53"/>
      <c r="I25" s="53"/>
      <c r="J25" s="53"/>
      <c r="K25" s="53"/>
      <c r="L25" s="53"/>
      <c r="M25" s="11"/>
      <c r="N25" s="53"/>
      <c r="O25" s="53"/>
      <c r="P25" s="53"/>
      <c r="Q25" s="11"/>
      <c r="R25" s="53"/>
      <c r="S25" s="53"/>
      <c r="T25" s="53"/>
      <c r="U25" s="53"/>
      <c r="V25" s="53"/>
      <c r="W25" s="54"/>
    </row>
    <row r="26" spans="1:23" ht="13.5" thickBot="1" x14ac:dyDescent="0.25">
      <c r="A26" s="42" t="str">
        <f>MID(YEAR(EFFDATE),4,1)</f>
        <v>6</v>
      </c>
      <c r="B26" s="43" t="s">
        <v>60</v>
      </c>
      <c r="C26" s="44" t="s">
        <v>61</v>
      </c>
      <c r="D26" s="44" t="s">
        <v>61</v>
      </c>
      <c r="E26" s="45">
        <f t="shared" ref="E26:W26" si="5">IF((12-MONTH(EFFDATE))=0,E23,E23*MONTH(EFFDATE)/12 + E24*(12-MONTH(EFFDATE))/12)</f>
        <v>0.75416666666666676</v>
      </c>
      <c r="F26" s="47">
        <f t="shared" si="5"/>
        <v>42.977499999999999</v>
      </c>
      <c r="G26" s="47">
        <f t="shared" si="5"/>
        <v>42.977499999999999</v>
      </c>
      <c r="H26" s="47">
        <f t="shared" si="5"/>
        <v>52.244886948862103</v>
      </c>
      <c r="I26" s="47">
        <f t="shared" si="5"/>
        <v>52.244886948862103</v>
      </c>
      <c r="J26" s="47">
        <f t="shared" si="5"/>
        <v>38.798393209149097</v>
      </c>
      <c r="K26" s="47">
        <f t="shared" si="5"/>
        <v>39.130019196002614</v>
      </c>
      <c r="L26" s="47">
        <f t="shared" si="5"/>
        <v>34.011223066785519</v>
      </c>
      <c r="M26" s="46">
        <f t="shared" si="5"/>
        <v>6.1375113994085657</v>
      </c>
      <c r="N26" s="47">
        <f t="shared" si="5"/>
        <v>8.225205456785055</v>
      </c>
      <c r="O26" s="47">
        <f t="shared" si="5"/>
        <v>30.751517050193787</v>
      </c>
      <c r="P26" s="55">
        <f t="shared" si="5"/>
        <v>52.207756055861978</v>
      </c>
      <c r="Q26" s="56">
        <f t="shared" si="5"/>
        <v>1.9637883110002832</v>
      </c>
      <c r="R26" s="51">
        <f t="shared" si="5"/>
        <v>2.196372948500283</v>
      </c>
      <c r="S26" s="51">
        <f t="shared" si="5"/>
        <v>2.196372948500283</v>
      </c>
      <c r="T26" s="51">
        <f t="shared" si="5"/>
        <v>1.7653536945368558</v>
      </c>
      <c r="U26" s="51">
        <f t="shared" si="5"/>
        <v>2.5029166666666671</v>
      </c>
      <c r="V26" s="51">
        <f t="shared" si="5"/>
        <v>2.5029166666666671</v>
      </c>
      <c r="W26" s="57">
        <f t="shared" si="5"/>
        <v>48.394826112354757</v>
      </c>
    </row>
    <row r="27" spans="1:23" x14ac:dyDescent="0.2">
      <c r="A27" s="15" t="s">
        <v>62</v>
      </c>
      <c r="B27" s="16">
        <f>YEAR(EFFDATE+1)</f>
        <v>2017</v>
      </c>
      <c r="C27" s="13">
        <f>HLOOKUP("Price Inflation",'[2]Deloitte Forecast Input Esc'!$2:$53,2+'[2]Deloitte Forecast Input Esc'!A4,FALSE)</f>
        <v>0</v>
      </c>
      <c r="D27" s="13">
        <f>HLOOKUP("Price Inflation",'[2]Deloitte Forecast Input Esc'!$2:$53,2+'[2]Deloitte Forecast Input Esc'!A4,FALSE)</f>
        <v>0</v>
      </c>
      <c r="E27" s="31">
        <f>HLOOKUP("Canadian Dollar",'[2]Deloitte Forecast Input Esc'!$2:$53,2+'[2]Deloitte Forecast Input Esc'!A4,FALSE)</f>
        <v>0.74</v>
      </c>
      <c r="F27" s="32">
        <f>HLOOKUP("WTI",'[2]Deloitte Forecast Input Real'!$2:$53,2+'[2]Deloitte Forecast Input Real'!A4,FALSE)</f>
        <v>55</v>
      </c>
      <c r="G27" s="17">
        <f>HLOOKUP("WTI",'[2]Deloitte Forecast Input Esc'!$2:$53,2+'[2]Deloitte Forecast Input Esc'!A4,FALSE)</f>
        <v>55</v>
      </c>
      <c r="H27" s="17">
        <f>HLOOKUP("Edmonton Light",'[2]Deloitte Forecast Input Real'!$2:$53,2+'[2]Deloitte Forecast Input Real'!A4,FALSE)</f>
        <v>68.899999999999991</v>
      </c>
      <c r="I27" s="17">
        <f>HLOOKUP("Edmonton Light",'[2]Deloitte Forecast Input Esc'!$2:$53,2+'[2]Deloitte Forecast Input Esc'!A4,FALSE)</f>
        <v>68.899999999999991</v>
      </c>
      <c r="J27" s="17">
        <f>HLOOKUP("Hardisty WCS",'[2]Deloitte Forecast Input Esc'!$2:$53,2+'[2]Deloitte Forecast Input Esc'!A4,FALSE)</f>
        <v>52.9</v>
      </c>
      <c r="K27" s="17">
        <f>HLOOKUP("Hardisty Bow River",'[2]Deloitte Forecast Input Esc'!$2:$53,2+'[2]Deloitte Forecast Input Esc'!A4,FALSE)</f>
        <v>55.4</v>
      </c>
      <c r="L27" s="36">
        <f>HLOOKUP("Hardisty Heavy",'[2]Deloitte Forecast Input Esc'!$2:$53,2+'[2]Deloitte Forecast Input Esc'!A4,FALSE)</f>
        <v>48.9</v>
      </c>
      <c r="M27" s="34">
        <f>HLOOKUP("Ethane FOB Edmonton",'[2]Deloitte Forecast Input Esc'!$2:$53,2+'[2]Deloitte Forecast Input Esc'!A4,FALSE)</f>
        <v>9.1</v>
      </c>
      <c r="N27" s="35">
        <f>HLOOKUP("Propane FOB Edmonton",'[2]Deloitte Forecast Input Esc'!$2:$53,2+'[2]Deloitte Forecast Input Esc'!A4,FALSE)</f>
        <v>13.799999999999999</v>
      </c>
      <c r="O27" s="35">
        <f>HLOOKUP("Butane FOB Edmonton",'[2]Deloitte Forecast Input Esc'!$2:$53,2+'[2]Deloitte Forecast Input Esc'!A4,FALSE)</f>
        <v>41.349999999999994</v>
      </c>
      <c r="P27" s="36">
        <f>HLOOKUP("Condensate FOB Edmonton",'[2]Deloitte Forecast Input Esc'!$2:$53,2+'[2]Deloitte Forecast Input Esc'!A4,FALSE)</f>
        <v>68.899999999999991</v>
      </c>
      <c r="Q27" s="37">
        <f>HLOOKUP("Alberta Gas Reference",'[2]Deloitte Forecast Input Esc'!$2:$53,2+'[2]Deloitte Forecast Input Esc'!A4,FALSE)</f>
        <v>3.05</v>
      </c>
      <c r="R27" s="37">
        <f>HLOOKUP("AECO-C Spot",'[2]Deloitte Forecast Input Real'!$2:$53,2+'[2]Deloitte Forecast Input Real'!A4,FALSE)</f>
        <v>3.25</v>
      </c>
      <c r="S27" s="37">
        <f>HLOOKUP("AECO-C Spot",'[2]Deloitte Forecast Input Esc'!$2:$53,2+'[2]Deloitte Forecast Input Esc'!A4,FALSE)</f>
        <v>3.25</v>
      </c>
      <c r="T27" s="37">
        <f>HLOOKUP("BC Westcoast Station 2",'[2]Deloitte Forecast Input Esc'!$2:$53,2+'[2]Deloitte Forecast Input Esc'!A4,FALSE)</f>
        <v>2.75</v>
      </c>
      <c r="U27" s="37">
        <f>HLOOKUP("NYMEX Henry Hub",'[2]Deloitte Forecast Input Real'!$2:$53,2+'[2]Deloitte Forecast Input Real'!A4,FALSE)</f>
        <v>3.3</v>
      </c>
      <c r="V27" s="38">
        <f>HLOOKUP("NYMEX Henry Hub",'[2]Deloitte Forecast Input Esc'!$2:$53,2+'[2]Deloitte Forecast Input Esc'!A4,FALSE)</f>
        <v>3.3000000000000003</v>
      </c>
      <c r="W27" s="38">
        <f>HLOOKUP("Sulphur Alberta Plantgate",'[2]Deloitte Forecast Input Esc'!$2:$53,2+'[2]Deloitte Forecast Input Esc'!A4,FALSE)</f>
        <v>50</v>
      </c>
    </row>
    <row r="28" spans="1:23" x14ac:dyDescent="0.2">
      <c r="A28" s="15" t="s">
        <v>55</v>
      </c>
      <c r="B28" s="16">
        <f>B27+1</f>
        <v>2018</v>
      </c>
      <c r="C28" s="13">
        <f>HLOOKUP("Price Inflation",'[2]Deloitte Forecast Input Esc'!$2:$53,2+'[2]Deloitte Forecast Input Esc'!A5,FALSE)</f>
        <v>0.02</v>
      </c>
      <c r="D28" s="13">
        <f>HLOOKUP("Price Inflation",'[2]Deloitte Forecast Input Esc'!$2:$53,2+'[2]Deloitte Forecast Input Esc'!A5,FALSE)</f>
        <v>0.02</v>
      </c>
      <c r="E28" s="31">
        <f>HLOOKUP("Canadian Dollar",'[2]Deloitte Forecast Input Esc'!$2:$53,2+'[2]Deloitte Forecast Input Esc'!A5,FALSE)</f>
        <v>0.76</v>
      </c>
      <c r="F28" s="32">
        <f>HLOOKUP("WTI",'[2]Deloitte Forecast Input Real'!$2:$53,2+'[2]Deloitte Forecast Input Real'!A5,FALSE)</f>
        <v>57</v>
      </c>
      <c r="G28" s="17">
        <f>HLOOKUP("WTI",'[2]Deloitte Forecast Input Esc'!$2:$53,2+'[2]Deloitte Forecast Input Esc'!A5,FALSE)</f>
        <v>58.150000000000006</v>
      </c>
      <c r="H28" s="17">
        <f>HLOOKUP("Edmonton Light",'[2]Deloitte Forecast Input Real'!$2:$53,2+'[2]Deloitte Forecast Input Real'!A5,FALSE)</f>
        <v>69.75</v>
      </c>
      <c r="I28" s="17">
        <f>HLOOKUP("Edmonton Light",'[2]Deloitte Forecast Input Esc'!$2:$53,2+'[2]Deloitte Forecast Input Esc'!A5,FALSE)</f>
        <v>71.150000000000006</v>
      </c>
      <c r="J28" s="17">
        <f>HLOOKUP("Hardisty WCS",'[2]Deloitte Forecast Input Esc'!$2:$53,2+'[2]Deloitte Forecast Input Esc'!A5,FALSE)</f>
        <v>54.85</v>
      </c>
      <c r="K28" s="17">
        <f>HLOOKUP("Hardisty Bow River",'[2]Deloitte Forecast Input Esc'!$2:$53,2+'[2]Deloitte Forecast Input Esc'!A5,FALSE)</f>
        <v>57.400000000000006</v>
      </c>
      <c r="L28" s="36">
        <f>HLOOKUP("Hardisty Heavy",'[2]Deloitte Forecast Input Esc'!$2:$53,2+'[2]Deloitte Forecast Input Esc'!A5,FALSE)</f>
        <v>50.75</v>
      </c>
      <c r="M28" s="34">
        <f>HLOOKUP("Ethane FOB Edmonton",'[2]Deloitte Forecast Input Esc'!$2:$53,2+'[2]Deloitte Forecast Input Esc'!A5,FALSE)</f>
        <v>9.4499999999999993</v>
      </c>
      <c r="N28" s="35">
        <f>HLOOKUP("Propane FOB Edmonton",'[2]Deloitte Forecast Input Esc'!$2:$53,2+'[2]Deloitte Forecast Input Esc'!A5,FALSE)</f>
        <v>21.349999999999998</v>
      </c>
      <c r="O28" s="35">
        <f>HLOOKUP("Butane FOB Edmonton",'[2]Deloitte Forecast Input Esc'!$2:$53,2+'[2]Deloitte Forecast Input Esc'!A5,FALSE)</f>
        <v>42.699999999999996</v>
      </c>
      <c r="P28" s="36">
        <f>HLOOKUP("Condensate FOB Edmonton",'[2]Deloitte Forecast Input Esc'!$2:$53,2+'[2]Deloitte Forecast Input Esc'!A5,FALSE)</f>
        <v>71.150000000000006</v>
      </c>
      <c r="Q28" s="37">
        <f>HLOOKUP("Alberta Gas Reference",'[2]Deloitte Forecast Input Esc'!$2:$53,2+'[2]Deloitte Forecast Input Esc'!A5,FALSE)</f>
        <v>3.15</v>
      </c>
      <c r="R28" s="37">
        <f>HLOOKUP("AECO-C Spot",'[2]Deloitte Forecast Input Real'!$2:$53,2+'[2]Deloitte Forecast Input Real'!A5,FALSE)</f>
        <v>3.3000000000000003</v>
      </c>
      <c r="S28" s="37">
        <f>HLOOKUP("AECO-C Spot",'[2]Deloitte Forecast Input Esc'!$2:$53,2+'[2]Deloitte Forecast Input Esc'!A5,FALSE)</f>
        <v>3.35</v>
      </c>
      <c r="T28" s="37">
        <f>HLOOKUP("BC Westcoast Station 2",'[2]Deloitte Forecast Input Esc'!$2:$53,2+'[2]Deloitte Forecast Input Esc'!A5,FALSE)</f>
        <v>2.8499999999999996</v>
      </c>
      <c r="U28" s="37">
        <f>HLOOKUP("NYMEX Henry Hub",'[2]Deloitte Forecast Input Real'!$2:$53,2+'[2]Deloitte Forecast Input Real'!A5,FALSE)</f>
        <v>3.35</v>
      </c>
      <c r="V28" s="38">
        <f>HLOOKUP("NYMEX Henry Hub",'[2]Deloitte Forecast Input Esc'!$2:$53,2+'[2]Deloitte Forecast Input Esc'!A5,FALSE)</f>
        <v>3.4000000000000004</v>
      </c>
      <c r="W28" s="38">
        <f>HLOOKUP("Sulphur Alberta Plantgate",'[2]Deloitte Forecast Input Esc'!$2:$53,2+'[2]Deloitte Forecast Input Esc'!A5,FALSE)</f>
        <v>51</v>
      </c>
    </row>
    <row r="29" spans="1:23" x14ac:dyDescent="0.2">
      <c r="A29" s="15" t="s">
        <v>56</v>
      </c>
      <c r="B29" s="16">
        <f t="shared" ref="B29:B46" si="6">B28+1</f>
        <v>2019</v>
      </c>
      <c r="C29" s="13">
        <f>HLOOKUP("Price Inflation",'[2]Deloitte Forecast Input Esc'!$2:$53,2+'[2]Deloitte Forecast Input Esc'!A6,FALSE)</f>
        <v>0.02</v>
      </c>
      <c r="D29" s="13">
        <f>HLOOKUP("Price Inflation",'[2]Deloitte Forecast Input Esc'!$2:$53,2+'[2]Deloitte Forecast Input Esc'!A6,FALSE)</f>
        <v>0.02</v>
      </c>
      <c r="E29" s="31">
        <f>HLOOKUP("Canadian Dollar",'[2]Deloitte Forecast Input Esc'!$2:$53,2+'[2]Deloitte Forecast Input Esc'!A6,FALSE)</f>
        <v>0.78</v>
      </c>
      <c r="F29" s="32">
        <f>HLOOKUP("WTI",'[2]Deloitte Forecast Input Real'!$2:$53,2+'[2]Deloitte Forecast Input Real'!A6,FALSE)</f>
        <v>60</v>
      </c>
      <c r="G29" s="17">
        <f>HLOOKUP("WTI",'[2]Deloitte Forecast Input Esc'!$2:$53,2+'[2]Deloitte Forecast Input Esc'!A6,FALSE)</f>
        <v>62.400000000000006</v>
      </c>
      <c r="H29" s="17">
        <f>HLOOKUP("Edmonton Light",'[2]Deloitte Forecast Input Real'!$2:$53,2+'[2]Deloitte Forecast Input Real'!A6,FALSE)</f>
        <v>71.8</v>
      </c>
      <c r="I29" s="17">
        <f>HLOOKUP("Edmonton Light",'[2]Deloitte Forecast Input Esc'!$2:$53,2+'[2]Deloitte Forecast Input Esc'!A6,FALSE)</f>
        <v>74.7</v>
      </c>
      <c r="J29" s="17">
        <f>HLOOKUP("Hardisty WCS",'[2]Deloitte Forecast Input Esc'!$2:$53,2+'[2]Deloitte Forecast Input Esc'!A6,FALSE)</f>
        <v>58.05</v>
      </c>
      <c r="K29" s="17">
        <f>HLOOKUP("Hardisty Bow River",'[2]Deloitte Forecast Input Esc'!$2:$53,2+'[2]Deloitte Forecast Input Esc'!A6,FALSE)</f>
        <v>60.650000000000006</v>
      </c>
      <c r="L29" s="36">
        <f>HLOOKUP("Hardisty Heavy",'[2]Deloitte Forecast Input Esc'!$2:$53,2+'[2]Deloitte Forecast Input Esc'!A6,FALSE)</f>
        <v>53.9</v>
      </c>
      <c r="M29" s="34">
        <f>HLOOKUP("Ethane FOB Edmonton",'[2]Deloitte Forecast Input Esc'!$2:$53,2+'[2]Deloitte Forecast Input Esc'!A6,FALSE)</f>
        <v>9.8000000000000007</v>
      </c>
      <c r="N29" s="35">
        <f>HLOOKUP("Propane FOB Edmonton",'[2]Deloitte Forecast Input Esc'!$2:$53,2+'[2]Deloitte Forecast Input Esc'!A6,FALSE)</f>
        <v>29.849999999999998</v>
      </c>
      <c r="O29" s="35">
        <f>HLOOKUP("Butane FOB Edmonton",'[2]Deloitte Forecast Input Esc'!$2:$53,2+'[2]Deloitte Forecast Input Esc'!A6,FALSE)</f>
        <v>44.85</v>
      </c>
      <c r="P29" s="36">
        <f>HLOOKUP("Condensate FOB Edmonton",'[2]Deloitte Forecast Input Esc'!$2:$53,2+'[2]Deloitte Forecast Input Esc'!A6,FALSE)</f>
        <v>74.7</v>
      </c>
      <c r="Q29" s="37">
        <f>HLOOKUP("Alberta Gas Reference",'[2]Deloitte Forecast Input Esc'!$2:$53,2+'[2]Deloitte Forecast Input Esc'!A6,FALSE)</f>
        <v>3.3000000000000003</v>
      </c>
      <c r="R29" s="37">
        <f>HLOOKUP("AECO-C Spot",'[2]Deloitte Forecast Input Real'!$2:$53,2+'[2]Deloitte Forecast Input Real'!A6,FALSE)</f>
        <v>3.35</v>
      </c>
      <c r="S29" s="37">
        <f>HLOOKUP("AECO-C Spot",'[2]Deloitte Forecast Input Esc'!$2:$53,2+'[2]Deloitte Forecast Input Esc'!A6,FALSE)</f>
        <v>3.5</v>
      </c>
      <c r="T29" s="37">
        <f>HLOOKUP("BC Westcoast Station 2",'[2]Deloitte Forecast Input Esc'!$2:$53,2+'[2]Deloitte Forecast Input Esc'!A6,FALSE)</f>
        <v>2.9499999999999997</v>
      </c>
      <c r="U29" s="37">
        <f>HLOOKUP("NYMEX Henry Hub",'[2]Deloitte Forecast Input Real'!$2:$53,2+'[2]Deloitte Forecast Input Real'!A6,FALSE)</f>
        <v>3.4</v>
      </c>
      <c r="V29" s="38">
        <f>HLOOKUP("NYMEX Henry Hub",'[2]Deloitte Forecast Input Esc'!$2:$53,2+'[2]Deloitte Forecast Input Esc'!A6,FALSE)</f>
        <v>3.55</v>
      </c>
      <c r="W29" s="38">
        <f>HLOOKUP("Sulphur Alberta Plantgate",'[2]Deloitte Forecast Input Esc'!$2:$53,2+'[2]Deloitte Forecast Input Esc'!A6,FALSE)</f>
        <v>52</v>
      </c>
    </row>
    <row r="30" spans="1:23" x14ac:dyDescent="0.2">
      <c r="A30" s="15" t="s">
        <v>63</v>
      </c>
      <c r="B30" s="16">
        <f t="shared" si="6"/>
        <v>2020</v>
      </c>
      <c r="C30" s="13">
        <f>HLOOKUP("Price Inflation",'[2]Deloitte Forecast Input Esc'!$2:$53,2+'[2]Deloitte Forecast Input Esc'!A7,FALSE)</f>
        <v>0.02</v>
      </c>
      <c r="D30" s="13">
        <f>HLOOKUP("Price Inflation",'[2]Deloitte Forecast Input Esc'!$2:$53,2+'[2]Deloitte Forecast Input Esc'!A7,FALSE)</f>
        <v>0.02</v>
      </c>
      <c r="E30" s="31">
        <f>HLOOKUP("Canadian Dollar",'[2]Deloitte Forecast Input Esc'!$2:$53,2+'[2]Deloitte Forecast Input Esc'!A7,FALSE)</f>
        <v>0.81</v>
      </c>
      <c r="F30" s="32">
        <f>HLOOKUP("WTI",'[2]Deloitte Forecast Input Real'!$2:$53,2+'[2]Deloitte Forecast Input Real'!A7,FALSE)</f>
        <v>65</v>
      </c>
      <c r="G30" s="17">
        <f>HLOOKUP("WTI",'[2]Deloitte Forecast Input Esc'!$2:$53,2+'[2]Deloitte Forecast Input Esc'!A7,FALSE)</f>
        <v>69</v>
      </c>
      <c r="H30" s="17">
        <f>HLOOKUP("Edmonton Light",'[2]Deloitte Forecast Input Real'!$2:$53,2+'[2]Deloitte Forecast Input Real'!A7,FALSE)</f>
        <v>75.3</v>
      </c>
      <c r="I30" s="17">
        <f>HLOOKUP("Edmonton Light",'[2]Deloitte Forecast Input Esc'!$2:$53,2+'[2]Deloitte Forecast Input Esc'!A7,FALSE)</f>
        <v>79.900000000000006</v>
      </c>
      <c r="J30" s="17">
        <f>HLOOKUP("Hardisty WCS",'[2]Deloitte Forecast Input Esc'!$2:$53,2+'[2]Deloitte Forecast Input Esc'!A7,FALSE)</f>
        <v>62.95</v>
      </c>
      <c r="K30" s="17">
        <f>HLOOKUP("Hardisty Bow River",'[2]Deloitte Forecast Input Esc'!$2:$53,2+'[2]Deloitte Forecast Input Esc'!A7,FALSE)</f>
        <v>65.599999999999994</v>
      </c>
      <c r="L30" s="36">
        <f>HLOOKUP("Hardisty Heavy",'[2]Deloitte Forecast Input Esc'!$2:$53,2+'[2]Deloitte Forecast Input Esc'!A7,FALSE)</f>
        <v>58.7</v>
      </c>
      <c r="M30" s="34">
        <f>HLOOKUP("Ethane FOB Edmonton",'[2]Deloitte Forecast Input Esc'!$2:$53,2+'[2]Deloitte Forecast Input Esc'!A7,FALSE)</f>
        <v>10</v>
      </c>
      <c r="N30" s="35">
        <f>HLOOKUP("Propane FOB Edmonton",'[2]Deloitte Forecast Input Esc'!$2:$53,2+'[2]Deloitte Forecast Input Esc'!A7,FALSE)</f>
        <v>31.95</v>
      </c>
      <c r="O30" s="35">
        <f>HLOOKUP("Butane FOB Edmonton",'[2]Deloitte Forecast Input Esc'!$2:$53,2+'[2]Deloitte Forecast Input Esc'!A7,FALSE)</f>
        <v>47.95</v>
      </c>
      <c r="P30" s="36">
        <f>HLOOKUP("Condensate FOB Edmonton",'[2]Deloitte Forecast Input Esc'!$2:$53,2+'[2]Deloitte Forecast Input Esc'!A7,FALSE)</f>
        <v>79.900000000000006</v>
      </c>
      <c r="Q30" s="37">
        <f>HLOOKUP("Alberta Gas Reference",'[2]Deloitte Forecast Input Esc'!$2:$53,2+'[2]Deloitte Forecast Input Esc'!A7,FALSE)</f>
        <v>3.35</v>
      </c>
      <c r="R30" s="37">
        <f>HLOOKUP("AECO-C Spot",'[2]Deloitte Forecast Input Real'!$2:$53,2+'[2]Deloitte Forecast Input Real'!A7,FALSE)</f>
        <v>3.35</v>
      </c>
      <c r="S30" s="37">
        <f>HLOOKUP("AECO-C Spot",'[2]Deloitte Forecast Input Esc'!$2:$53,2+'[2]Deloitte Forecast Input Esc'!A7,FALSE)</f>
        <v>3.55</v>
      </c>
      <c r="T30" s="37">
        <f>HLOOKUP("BC Westcoast Station 2",'[2]Deloitte Forecast Input Esc'!$2:$53,2+'[2]Deloitte Forecast Input Esc'!A7,FALSE)</f>
        <v>3</v>
      </c>
      <c r="U30" s="37">
        <f>HLOOKUP("NYMEX Henry Hub",'[2]Deloitte Forecast Input Real'!$2:$53,2+'[2]Deloitte Forecast Input Real'!A7,FALSE)</f>
        <v>3.45</v>
      </c>
      <c r="V30" s="38">
        <f>HLOOKUP("NYMEX Henry Hub",'[2]Deloitte Forecast Input Esc'!$2:$53,2+'[2]Deloitte Forecast Input Esc'!A7,FALSE)</f>
        <v>3.65</v>
      </c>
      <c r="W30" s="38">
        <f>HLOOKUP("Sulphur Alberta Plantgate",'[2]Deloitte Forecast Input Esc'!$2:$53,2+'[2]Deloitte Forecast Input Esc'!A7,FALSE)</f>
        <v>53.05</v>
      </c>
    </row>
    <row r="31" spans="1:23" x14ac:dyDescent="0.2">
      <c r="A31" s="15" t="s">
        <v>57</v>
      </c>
      <c r="B31" s="16">
        <f t="shared" si="6"/>
        <v>2021</v>
      </c>
      <c r="C31" s="13">
        <f>HLOOKUP("Price Inflation",'[2]Deloitte Forecast Input Esc'!$2:$53,2+'[2]Deloitte Forecast Input Esc'!A8,FALSE)</f>
        <v>0.02</v>
      </c>
      <c r="D31" s="13">
        <f>HLOOKUP("Price Inflation",'[2]Deloitte Forecast Input Esc'!$2:$53,2+'[2]Deloitte Forecast Input Esc'!A8,FALSE)</f>
        <v>0.02</v>
      </c>
      <c r="E31" s="31">
        <f>HLOOKUP("Canadian Dollar",'[2]Deloitte Forecast Input Esc'!$2:$53,2+'[2]Deloitte Forecast Input Esc'!A8,FALSE)</f>
        <v>0.85</v>
      </c>
      <c r="F31" s="32">
        <f>HLOOKUP("WTI",'[2]Deloitte Forecast Input Real'!$2:$53,2+'[2]Deloitte Forecast Input Real'!A8,FALSE)</f>
        <v>70</v>
      </c>
      <c r="G31" s="17">
        <f>HLOOKUP("WTI",'[2]Deloitte Forecast Input Esc'!$2:$53,2+'[2]Deloitte Forecast Input Esc'!A8,FALSE)</f>
        <v>75.75</v>
      </c>
      <c r="H31" s="17">
        <f>HLOOKUP("Edmonton Light",'[2]Deloitte Forecast Input Real'!$2:$53,2+'[2]Deloitte Forecast Input Real'!A8,FALSE)</f>
        <v>77.649999999999991</v>
      </c>
      <c r="I31" s="17">
        <f>HLOOKUP("Edmonton Light",'[2]Deloitte Forecast Input Esc'!$2:$53,2+'[2]Deloitte Forecast Input Esc'!A8,FALSE)</f>
        <v>84.05</v>
      </c>
      <c r="J31" s="17">
        <f>HLOOKUP("Hardisty WCS",'[2]Deloitte Forecast Input Esc'!$2:$53,2+'[2]Deloitte Forecast Input Esc'!A8,FALSE)</f>
        <v>66.75</v>
      </c>
      <c r="K31" s="17">
        <f>HLOOKUP("Hardisty Bow River",'[2]Deloitte Forecast Input Esc'!$2:$53,2+'[2]Deloitte Forecast Input Esc'!A8,FALSE)</f>
        <v>69.45</v>
      </c>
      <c r="L31" s="36">
        <f>HLOOKUP("Hardisty Heavy",'[2]Deloitte Forecast Input Esc'!$2:$53,2+'[2]Deloitte Forecast Input Esc'!A8,FALSE)</f>
        <v>62.400000000000006</v>
      </c>
      <c r="M31" s="34">
        <f>HLOOKUP("Ethane FOB Edmonton",'[2]Deloitte Forecast Input Esc'!$2:$53,2+'[2]Deloitte Forecast Input Esc'!A8,FALSE)</f>
        <v>10.3</v>
      </c>
      <c r="N31" s="35">
        <f>HLOOKUP("Propane FOB Edmonton",'[2]Deloitte Forecast Input Esc'!$2:$53,2+'[2]Deloitte Forecast Input Esc'!A8,FALSE)</f>
        <v>33.6</v>
      </c>
      <c r="O31" s="35">
        <f>HLOOKUP("Butane FOB Edmonton",'[2]Deloitte Forecast Input Esc'!$2:$53,2+'[2]Deloitte Forecast Input Esc'!A8,FALSE)</f>
        <v>50.45</v>
      </c>
      <c r="P31" s="36">
        <f>HLOOKUP("Condensate FOB Edmonton",'[2]Deloitte Forecast Input Esc'!$2:$53,2+'[2]Deloitte Forecast Input Esc'!A8,FALSE)</f>
        <v>84.05</v>
      </c>
      <c r="Q31" s="37">
        <f>HLOOKUP("Alberta Gas Reference",'[2]Deloitte Forecast Input Esc'!$2:$53,2+'[2]Deloitte Forecast Input Esc'!A8,FALSE)</f>
        <v>3.4499999999999997</v>
      </c>
      <c r="R31" s="37">
        <f>HLOOKUP("AECO-C Spot",'[2]Deloitte Forecast Input Real'!$2:$53,2+'[2]Deloitte Forecast Input Real'!A8,FALSE)</f>
        <v>3.4000000000000004</v>
      </c>
      <c r="S31" s="37">
        <f>HLOOKUP("AECO-C Spot",'[2]Deloitte Forecast Input Esc'!$2:$53,2+'[2]Deloitte Forecast Input Esc'!A8,FALSE)</f>
        <v>3.7</v>
      </c>
      <c r="T31" s="37">
        <f>HLOOKUP("BC Westcoast Station 2",'[2]Deloitte Forecast Input Esc'!$2:$53,2+'[2]Deloitte Forecast Input Esc'!A8,FALSE)</f>
        <v>3.15</v>
      </c>
      <c r="U31" s="37">
        <f>HLOOKUP("NYMEX Henry Hub",'[2]Deloitte Forecast Input Real'!$2:$53,2+'[2]Deloitte Forecast Input Real'!A8,FALSE)</f>
        <v>3.5</v>
      </c>
      <c r="V31" s="38">
        <f>HLOOKUP("NYMEX Henry Hub",'[2]Deloitte Forecast Input Esc'!$2:$53,2+'[2]Deloitte Forecast Input Esc'!A8,FALSE)</f>
        <v>3.8</v>
      </c>
      <c r="W31" s="38">
        <f>HLOOKUP("Sulphur Alberta Plantgate",'[2]Deloitte Forecast Input Esc'!$2:$53,2+'[2]Deloitte Forecast Input Esc'!A8,FALSE)</f>
        <v>54.1</v>
      </c>
    </row>
    <row r="32" spans="1:23" x14ac:dyDescent="0.2">
      <c r="A32" s="15" t="s">
        <v>58</v>
      </c>
      <c r="B32" s="16">
        <f t="shared" si="6"/>
        <v>2022</v>
      </c>
      <c r="C32" s="13">
        <f>HLOOKUP("Price Inflation",'[2]Deloitte Forecast Input Esc'!$2:$53,2+'[2]Deloitte Forecast Input Esc'!A9,FALSE)</f>
        <v>0.02</v>
      </c>
      <c r="D32" s="13">
        <f>HLOOKUP("Price Inflation",'[2]Deloitte Forecast Input Esc'!$2:$53,2+'[2]Deloitte Forecast Input Esc'!A9,FALSE)</f>
        <v>0.02</v>
      </c>
      <c r="E32" s="31">
        <f>HLOOKUP("Canadian Dollar",'[2]Deloitte Forecast Input Esc'!$2:$53,2+'[2]Deloitte Forecast Input Esc'!A9,FALSE)</f>
        <v>0.85</v>
      </c>
      <c r="F32" s="32">
        <f>HLOOKUP("WTI",'[2]Deloitte Forecast Input Real'!$2:$53,2+'[2]Deloitte Forecast Input Real'!A9,FALSE)</f>
        <v>75</v>
      </c>
      <c r="G32" s="17">
        <f>HLOOKUP("WTI",'[2]Deloitte Forecast Input Esc'!$2:$53,2+'[2]Deloitte Forecast Input Esc'!A9,FALSE)</f>
        <v>82.8</v>
      </c>
      <c r="H32" s="17">
        <f>HLOOKUP("Edmonton Light",'[2]Deloitte Forecast Input Real'!$2:$53,2+'[2]Deloitte Forecast Input Real'!A9,FALSE)</f>
        <v>83.550000000000011</v>
      </c>
      <c r="I32" s="17">
        <f>HLOOKUP("Edmonton Light",'[2]Deloitte Forecast Input Esc'!$2:$53,2+'[2]Deloitte Forecast Input Esc'!A9,FALSE)</f>
        <v>92.25</v>
      </c>
      <c r="J32" s="17">
        <f>HLOOKUP("Hardisty WCS",'[2]Deloitte Forecast Input Esc'!$2:$53,2+'[2]Deloitte Forecast Input Esc'!A9,FALSE)</f>
        <v>74.599999999999994</v>
      </c>
      <c r="K32" s="17">
        <f>HLOOKUP("Hardisty Bow River",'[2]Deloitte Forecast Input Esc'!$2:$53,2+'[2]Deloitte Forecast Input Esc'!A9,FALSE)</f>
        <v>77.350000000000009</v>
      </c>
      <c r="L32" s="36">
        <f>HLOOKUP("Hardisty Heavy",'[2]Deloitte Forecast Input Esc'!$2:$53,2+'[2]Deloitte Forecast Input Esc'!A9,FALSE)</f>
        <v>70.149999999999991</v>
      </c>
      <c r="M32" s="34">
        <f>HLOOKUP("Ethane FOB Edmonton",'[2]Deloitte Forecast Input Esc'!$2:$53,2+'[2]Deloitte Forecast Input Esc'!A9,FALSE)</f>
        <v>11</v>
      </c>
      <c r="N32" s="35">
        <f>HLOOKUP("Propane FOB Edmonton",'[2]Deloitte Forecast Input Esc'!$2:$53,2+'[2]Deloitte Forecast Input Esc'!A9,FALSE)</f>
        <v>36.9</v>
      </c>
      <c r="O32" s="35">
        <f>HLOOKUP("Butane FOB Edmonton",'[2]Deloitte Forecast Input Esc'!$2:$53,2+'[2]Deloitte Forecast Input Esc'!A9,FALSE)</f>
        <v>55.35</v>
      </c>
      <c r="P32" s="36">
        <f>HLOOKUP("Condensate FOB Edmonton",'[2]Deloitte Forecast Input Esc'!$2:$53,2+'[2]Deloitte Forecast Input Esc'!A9,FALSE)</f>
        <v>92.25</v>
      </c>
      <c r="Q32" s="37">
        <f>HLOOKUP("Alberta Gas Reference",'[2]Deloitte Forecast Input Esc'!$2:$53,2+'[2]Deloitte Forecast Input Esc'!A9,FALSE)</f>
        <v>3.7</v>
      </c>
      <c r="R32" s="37">
        <f>HLOOKUP("AECO-C Spot",'[2]Deloitte Forecast Input Real'!$2:$53,2+'[2]Deloitte Forecast Input Real'!A9,FALSE)</f>
        <v>3.55</v>
      </c>
      <c r="S32" s="37">
        <f>HLOOKUP("AECO-C Spot",'[2]Deloitte Forecast Input Esc'!$2:$53,2+'[2]Deloitte Forecast Input Esc'!A9,FALSE)</f>
        <v>3.9000000000000004</v>
      </c>
      <c r="T32" s="37">
        <f>HLOOKUP("BC Westcoast Station 2",'[2]Deloitte Forecast Input Esc'!$2:$53,2+'[2]Deloitte Forecast Input Esc'!A9,FALSE)</f>
        <v>3.35</v>
      </c>
      <c r="U32" s="37">
        <f>HLOOKUP("NYMEX Henry Hub",'[2]Deloitte Forecast Input Real'!$2:$53,2+'[2]Deloitte Forecast Input Real'!A9,FALSE)</f>
        <v>3.6</v>
      </c>
      <c r="V32" s="38">
        <f>HLOOKUP("NYMEX Henry Hub",'[2]Deloitte Forecast Input Esc'!$2:$53,2+'[2]Deloitte Forecast Input Esc'!A9,FALSE)</f>
        <v>3.95</v>
      </c>
      <c r="W32" s="38">
        <f>HLOOKUP("Sulphur Alberta Plantgate",'[2]Deloitte Forecast Input Esc'!$2:$53,2+'[2]Deloitte Forecast Input Esc'!A9,FALSE)</f>
        <v>55.199999999999996</v>
      </c>
    </row>
    <row r="33" spans="1:23" x14ac:dyDescent="0.2">
      <c r="A33" s="15" t="s">
        <v>53</v>
      </c>
      <c r="B33" s="16">
        <f t="shared" si="6"/>
        <v>2023</v>
      </c>
      <c r="C33" s="13">
        <f>HLOOKUP("Price Inflation",'[2]Deloitte Forecast Input Esc'!$2:$53,2+'[2]Deloitte Forecast Input Esc'!A10,FALSE)</f>
        <v>0.02</v>
      </c>
      <c r="D33" s="13">
        <f>HLOOKUP("Price Inflation",'[2]Deloitte Forecast Input Esc'!$2:$53,2+'[2]Deloitte Forecast Input Esc'!A10,FALSE)</f>
        <v>0.02</v>
      </c>
      <c r="E33" s="31">
        <f>HLOOKUP("Canadian Dollar",'[2]Deloitte Forecast Input Esc'!$2:$53,2+'[2]Deloitte Forecast Input Esc'!A10,FALSE)</f>
        <v>0.85</v>
      </c>
      <c r="F33" s="32">
        <f>HLOOKUP("WTI",'[2]Deloitte Forecast Input Real'!$2:$53,2+'[2]Deloitte Forecast Input Real'!A10,FALSE)</f>
        <v>75</v>
      </c>
      <c r="G33" s="17">
        <f>HLOOKUP("WTI",'[2]Deloitte Forecast Input Esc'!$2:$53,2+'[2]Deloitte Forecast Input Esc'!A10,FALSE)</f>
        <v>84.45</v>
      </c>
      <c r="H33" s="17">
        <f>HLOOKUP("Edmonton Light",'[2]Deloitte Forecast Input Real'!$2:$53,2+'[2]Deloitte Forecast Input Real'!A10,FALSE)</f>
        <v>83.550000000000011</v>
      </c>
      <c r="I33" s="17">
        <f>HLOOKUP("Edmonton Light",'[2]Deloitte Forecast Input Esc'!$2:$53,2+'[2]Deloitte Forecast Input Esc'!A10,FALSE)</f>
        <v>94.1</v>
      </c>
      <c r="J33" s="17">
        <f>HLOOKUP("Hardisty WCS",'[2]Deloitte Forecast Input Esc'!$2:$53,2+'[2]Deloitte Forecast Input Esc'!A10,FALSE)</f>
        <v>76.050000000000011</v>
      </c>
      <c r="K33" s="17">
        <f>HLOOKUP("Hardisty Bow River",'[2]Deloitte Forecast Input Esc'!$2:$53,2+'[2]Deloitte Forecast Input Esc'!A10,FALSE)</f>
        <v>78.899999999999991</v>
      </c>
      <c r="L33" s="36">
        <f>HLOOKUP("Hardisty Heavy",'[2]Deloitte Forecast Input Esc'!$2:$53,2+'[2]Deloitte Forecast Input Esc'!A10,FALSE)</f>
        <v>71.55</v>
      </c>
      <c r="M33" s="34">
        <f>HLOOKUP("Ethane FOB Edmonton",'[2]Deloitte Forecast Input Esc'!$2:$53,2+'[2]Deloitte Forecast Input Esc'!A10,FALSE)</f>
        <v>11.65</v>
      </c>
      <c r="N33" s="35">
        <f>HLOOKUP("Propane FOB Edmonton",'[2]Deloitte Forecast Input Esc'!$2:$53,2+'[2]Deloitte Forecast Input Esc'!A10,FALSE)</f>
        <v>37.599999999999994</v>
      </c>
      <c r="O33" s="35">
        <f>HLOOKUP("Butane FOB Edmonton",'[2]Deloitte Forecast Input Esc'!$2:$53,2+'[2]Deloitte Forecast Input Esc'!A10,FALSE)</f>
        <v>56.5</v>
      </c>
      <c r="P33" s="36">
        <f>HLOOKUP("Condensate FOB Edmonton",'[2]Deloitte Forecast Input Esc'!$2:$53,2+'[2]Deloitte Forecast Input Esc'!A10,FALSE)</f>
        <v>94.1</v>
      </c>
      <c r="Q33" s="37">
        <f>HLOOKUP("Alberta Gas Reference",'[2]Deloitte Forecast Input Esc'!$2:$53,2+'[2]Deloitte Forecast Input Esc'!A10,FALSE)</f>
        <v>3.95</v>
      </c>
      <c r="R33" s="37">
        <f>HLOOKUP("AECO-C Spot",'[2]Deloitte Forecast Input Real'!$2:$53,2+'[2]Deloitte Forecast Input Real'!A10,FALSE)</f>
        <v>3.7</v>
      </c>
      <c r="S33" s="37">
        <f>HLOOKUP("AECO-C Spot",'[2]Deloitte Forecast Input Esc'!$2:$53,2+'[2]Deloitte Forecast Input Esc'!A10,FALSE)</f>
        <v>4.1499999999999995</v>
      </c>
      <c r="T33" s="37">
        <f>HLOOKUP("BC Westcoast Station 2",'[2]Deloitte Forecast Input Esc'!$2:$53,2+'[2]Deloitte Forecast Input Esc'!A10,FALSE)</f>
        <v>3.5999999999999996</v>
      </c>
      <c r="U33" s="37">
        <f>HLOOKUP("NYMEX Henry Hub",'[2]Deloitte Forecast Input Real'!$2:$53,2+'[2]Deloitte Forecast Input Real'!A10,FALSE)</f>
        <v>3.75</v>
      </c>
      <c r="V33" s="38">
        <f>HLOOKUP("NYMEX Henry Hub",'[2]Deloitte Forecast Input Esc'!$2:$53,2+'[2]Deloitte Forecast Input Esc'!A10,FALSE)</f>
        <v>4.2</v>
      </c>
      <c r="W33" s="38">
        <f>HLOOKUP("Sulphur Alberta Plantgate",'[2]Deloitte Forecast Input Esc'!$2:$53,2+'[2]Deloitte Forecast Input Esc'!A10,FALSE)</f>
        <v>56.3</v>
      </c>
    </row>
    <row r="34" spans="1:23" x14ac:dyDescent="0.2">
      <c r="A34" s="15" t="s">
        <v>54</v>
      </c>
      <c r="B34" s="16">
        <f t="shared" si="6"/>
        <v>2024</v>
      </c>
      <c r="C34" s="13">
        <f>HLOOKUP("Price Inflation",'[2]Deloitte Forecast Input Esc'!$2:$53,2+'[2]Deloitte Forecast Input Esc'!A11,FALSE)</f>
        <v>0.02</v>
      </c>
      <c r="D34" s="13">
        <f>HLOOKUP("Price Inflation",'[2]Deloitte Forecast Input Esc'!$2:$53,2+'[2]Deloitte Forecast Input Esc'!A11,FALSE)</f>
        <v>0.02</v>
      </c>
      <c r="E34" s="31">
        <f>HLOOKUP("Canadian Dollar",'[2]Deloitte Forecast Input Esc'!$2:$53,2+'[2]Deloitte Forecast Input Esc'!A11,FALSE)</f>
        <v>0.85</v>
      </c>
      <c r="F34" s="32">
        <f>HLOOKUP("WTI",'[2]Deloitte Forecast Input Real'!$2:$53,2+'[2]Deloitte Forecast Input Real'!A11,FALSE)</f>
        <v>75</v>
      </c>
      <c r="G34" s="17">
        <f>HLOOKUP("WTI",'[2]Deloitte Forecast Input Esc'!$2:$53,2+'[2]Deloitte Forecast Input Esc'!A11,FALSE)</f>
        <v>86.15</v>
      </c>
      <c r="H34" s="17">
        <f>HLOOKUP("Edmonton Light",'[2]Deloitte Forecast Input Real'!$2:$53,2+'[2]Deloitte Forecast Input Real'!A11,FALSE)</f>
        <v>83.550000000000011</v>
      </c>
      <c r="I34" s="17">
        <f>HLOOKUP("Edmonton Light",'[2]Deloitte Forecast Input Esc'!$2:$53,2+'[2]Deloitte Forecast Input Esc'!A11,FALSE)</f>
        <v>95.95</v>
      </c>
      <c r="J34" s="17">
        <f>HLOOKUP("Hardisty WCS",'[2]Deloitte Forecast Input Esc'!$2:$53,2+'[2]Deloitte Forecast Input Esc'!A11,FALSE)</f>
        <v>77.599999999999994</v>
      </c>
      <c r="K34" s="17">
        <f>HLOOKUP("Hardisty Bow River",'[2]Deloitte Forecast Input Esc'!$2:$53,2+'[2]Deloitte Forecast Input Esc'!A11,FALSE)</f>
        <v>80.45</v>
      </c>
      <c r="L34" s="36">
        <f>HLOOKUP("Hardisty Heavy",'[2]Deloitte Forecast Input Esc'!$2:$53,2+'[2]Deloitte Forecast Input Esc'!A11,FALSE)</f>
        <v>73</v>
      </c>
      <c r="M34" s="34">
        <f>HLOOKUP("Ethane FOB Edmonton",'[2]Deloitte Forecast Input Esc'!$2:$53,2+'[2]Deloitte Forecast Input Esc'!A11,FALSE)</f>
        <v>12.5</v>
      </c>
      <c r="N34" s="35">
        <f>HLOOKUP("Propane FOB Edmonton",'[2]Deloitte Forecast Input Esc'!$2:$53,2+'[2]Deloitte Forecast Input Esc'!A11,FALSE)</f>
        <v>38.35</v>
      </c>
      <c r="O34" s="35">
        <f>HLOOKUP("Butane FOB Edmonton",'[2]Deloitte Forecast Input Esc'!$2:$53,2+'[2]Deloitte Forecast Input Esc'!A11,FALSE)</f>
        <v>57.599999999999994</v>
      </c>
      <c r="P34" s="36">
        <f>HLOOKUP("Condensate FOB Edmonton",'[2]Deloitte Forecast Input Esc'!$2:$53,2+'[2]Deloitte Forecast Input Esc'!A11,FALSE)</f>
        <v>95.95</v>
      </c>
      <c r="Q34" s="37">
        <f>HLOOKUP("Alberta Gas Reference",'[2]Deloitte Forecast Input Esc'!$2:$53,2+'[2]Deloitte Forecast Input Esc'!A11,FALSE)</f>
        <v>4.25</v>
      </c>
      <c r="R34" s="37">
        <f>HLOOKUP("AECO-C Spot",'[2]Deloitte Forecast Input Real'!$2:$53,2+'[2]Deloitte Forecast Input Real'!A11,FALSE)</f>
        <v>3.9000000000000004</v>
      </c>
      <c r="S34" s="37">
        <f>HLOOKUP("AECO-C Spot",'[2]Deloitte Forecast Input Esc'!$2:$53,2+'[2]Deloitte Forecast Input Esc'!A11,FALSE)</f>
        <v>4.5</v>
      </c>
      <c r="T34" s="37">
        <f>HLOOKUP("BC Westcoast Station 2",'[2]Deloitte Forecast Input Esc'!$2:$53,2+'[2]Deloitte Forecast Input Esc'!A11,FALSE)</f>
        <v>3.9000000000000004</v>
      </c>
      <c r="U34" s="37">
        <f>HLOOKUP("NYMEX Henry Hub",'[2]Deloitte Forecast Input Real'!$2:$53,2+'[2]Deloitte Forecast Input Real'!A11,FALSE)</f>
        <v>3.9</v>
      </c>
      <c r="V34" s="38">
        <f>HLOOKUP("NYMEX Henry Hub",'[2]Deloitte Forecast Input Esc'!$2:$53,2+'[2]Deloitte Forecast Input Esc'!A11,FALSE)</f>
        <v>4.5</v>
      </c>
      <c r="W34" s="38">
        <f>HLOOKUP("Sulphur Alberta Plantgate",'[2]Deloitte Forecast Input Esc'!$2:$53,2+'[2]Deloitte Forecast Input Esc'!A11,FALSE)</f>
        <v>57.45</v>
      </c>
    </row>
    <row r="35" spans="1:23" x14ac:dyDescent="0.2">
      <c r="A35" s="15"/>
      <c r="B35" s="16">
        <f t="shared" si="6"/>
        <v>2025</v>
      </c>
      <c r="C35" s="13">
        <f>HLOOKUP("Price Inflation",'[2]Deloitte Forecast Input Esc'!$2:$53,2+'[2]Deloitte Forecast Input Esc'!A12,FALSE)</f>
        <v>0.02</v>
      </c>
      <c r="D35" s="13">
        <f>HLOOKUP("Price Inflation",'[2]Deloitte Forecast Input Esc'!$2:$53,2+'[2]Deloitte Forecast Input Esc'!A12,FALSE)</f>
        <v>0.02</v>
      </c>
      <c r="E35" s="31">
        <f>HLOOKUP("Canadian Dollar",'[2]Deloitte Forecast Input Esc'!$2:$53,2+'[2]Deloitte Forecast Input Esc'!A12,FALSE)</f>
        <v>0.85</v>
      </c>
      <c r="F35" s="32">
        <f>HLOOKUP("WTI",'[2]Deloitte Forecast Input Real'!$2:$53,2+'[2]Deloitte Forecast Input Real'!A12,FALSE)</f>
        <v>75</v>
      </c>
      <c r="G35" s="17">
        <f>HLOOKUP("WTI",'[2]Deloitte Forecast Input Esc'!$2:$53,2+'[2]Deloitte Forecast Input Esc'!A12,FALSE)</f>
        <v>87.85</v>
      </c>
      <c r="H35" s="17">
        <f>HLOOKUP("Edmonton Light",'[2]Deloitte Forecast Input Real'!$2:$53,2+'[2]Deloitte Forecast Input Real'!A12,FALSE)</f>
        <v>83.550000000000011</v>
      </c>
      <c r="I35" s="17">
        <f>HLOOKUP("Edmonton Light",'[2]Deloitte Forecast Input Esc'!$2:$53,2+'[2]Deloitte Forecast Input Esc'!A12,FALSE)</f>
        <v>97.899999999999991</v>
      </c>
      <c r="J35" s="17">
        <f>HLOOKUP("Hardisty WCS",'[2]Deloitte Forecast Input Esc'!$2:$53,2+'[2]Deloitte Forecast Input Esc'!A12,FALSE)</f>
        <v>79.150000000000006</v>
      </c>
      <c r="K35" s="17">
        <f>HLOOKUP("Hardisty Bow River",'[2]Deloitte Forecast Input Esc'!$2:$53,2+'[2]Deloitte Forecast Input Esc'!A12,FALSE)</f>
        <v>82.05</v>
      </c>
      <c r="L35" s="36">
        <f>HLOOKUP("Hardisty Heavy",'[2]Deloitte Forecast Input Esc'!$2:$53,2+'[2]Deloitte Forecast Input Esc'!A12,FALSE)</f>
        <v>74.45</v>
      </c>
      <c r="M35" s="34">
        <f>HLOOKUP("Ethane FOB Edmonton",'[2]Deloitte Forecast Input Esc'!$2:$53,2+'[2]Deloitte Forecast Input Esc'!A12,FALSE)</f>
        <v>13.100000000000001</v>
      </c>
      <c r="N35" s="35">
        <f>HLOOKUP("Propane FOB Edmonton",'[2]Deloitte Forecast Input Esc'!$2:$53,2+'[2]Deloitte Forecast Input Esc'!A12,FALSE)</f>
        <v>39.15</v>
      </c>
      <c r="O35" s="35">
        <f>HLOOKUP("Butane FOB Edmonton",'[2]Deloitte Forecast Input Esc'!$2:$53,2+'[2]Deloitte Forecast Input Esc'!A12,FALSE)</f>
        <v>58.75</v>
      </c>
      <c r="P35" s="36">
        <f>HLOOKUP("Condensate FOB Edmonton",'[2]Deloitte Forecast Input Esc'!$2:$53,2+'[2]Deloitte Forecast Input Esc'!A12,FALSE)</f>
        <v>97.899999999999991</v>
      </c>
      <c r="Q35" s="37">
        <f>HLOOKUP("Alberta Gas Reference",'[2]Deloitte Forecast Input Esc'!$2:$53,2+'[2]Deloitte Forecast Input Esc'!A12,FALSE)</f>
        <v>4.45</v>
      </c>
      <c r="R35" s="37">
        <f>HLOOKUP("AECO-C Spot",'[2]Deloitte Forecast Input Real'!$2:$53,2+'[2]Deloitte Forecast Input Real'!A12,FALSE)</f>
        <v>4</v>
      </c>
      <c r="S35" s="37">
        <f>HLOOKUP("AECO-C Spot",'[2]Deloitte Forecast Input Esc'!$2:$53,2+'[2]Deloitte Forecast Input Esc'!A12,FALSE)</f>
        <v>4.6999999999999993</v>
      </c>
      <c r="T35" s="37">
        <f>HLOOKUP("BC Westcoast Station 2",'[2]Deloitte Forecast Input Esc'!$2:$53,2+'[2]Deloitte Forecast Input Esc'!A12,FALSE)</f>
        <v>4.0999999999999996</v>
      </c>
      <c r="U35" s="37">
        <f>HLOOKUP("NYMEX Henry Hub",'[2]Deloitte Forecast Input Real'!$2:$53,2+'[2]Deloitte Forecast Input Real'!A12,FALSE)</f>
        <v>4</v>
      </c>
      <c r="V35" s="38">
        <f>HLOOKUP("NYMEX Henry Hub",'[2]Deloitte Forecast Input Esc'!$2:$53,2+'[2]Deloitte Forecast Input Esc'!A12,FALSE)</f>
        <v>4.6999999999999993</v>
      </c>
      <c r="W35" s="38">
        <f>HLOOKUP("Sulphur Alberta Plantgate",'[2]Deloitte Forecast Input Esc'!$2:$53,2+'[2]Deloitte Forecast Input Esc'!A12,FALSE)</f>
        <v>58.6</v>
      </c>
    </row>
    <row r="36" spans="1:23" x14ac:dyDescent="0.2">
      <c r="A36" s="11"/>
      <c r="B36" s="16">
        <f t="shared" si="6"/>
        <v>2026</v>
      </c>
      <c r="C36" s="13">
        <f>HLOOKUP("Price Inflation",'[2]Deloitte Forecast Input Esc'!$2:$53,2+'[2]Deloitte Forecast Input Esc'!A13,FALSE)</f>
        <v>0.02</v>
      </c>
      <c r="D36" s="13">
        <f>HLOOKUP("Price Inflation",'[2]Deloitte Forecast Input Esc'!$2:$53,2+'[2]Deloitte Forecast Input Esc'!A13,FALSE)</f>
        <v>0.02</v>
      </c>
      <c r="E36" s="31">
        <f>HLOOKUP("Canadian Dollar",'[2]Deloitte Forecast Input Esc'!$2:$53,2+'[2]Deloitte Forecast Input Esc'!A13,FALSE)</f>
        <v>0.85</v>
      </c>
      <c r="F36" s="32">
        <f>HLOOKUP("WTI",'[2]Deloitte Forecast Input Real'!$2:$53,2+'[2]Deloitte Forecast Input Real'!A13,FALSE)</f>
        <v>75</v>
      </c>
      <c r="G36" s="17">
        <f>HLOOKUP("WTI",'[2]Deloitte Forecast Input Esc'!$2:$53,2+'[2]Deloitte Forecast Input Esc'!A13,FALSE)</f>
        <v>89.65</v>
      </c>
      <c r="H36" s="17">
        <f>HLOOKUP("Edmonton Light",'[2]Deloitte Forecast Input Real'!$2:$53,2+'[2]Deloitte Forecast Input Real'!A13,FALSE)</f>
        <v>83.550000000000011</v>
      </c>
      <c r="I36" s="17">
        <f>HLOOKUP("Edmonton Light",'[2]Deloitte Forecast Input Esc'!$2:$53,2+'[2]Deloitte Forecast Input Esc'!A13,FALSE)</f>
        <v>99.85</v>
      </c>
      <c r="J36" s="17">
        <f>HLOOKUP("Hardisty WCS",'[2]Deloitte Forecast Input Esc'!$2:$53,2+'[2]Deloitte Forecast Input Esc'!A13,FALSE)</f>
        <v>80.75</v>
      </c>
      <c r="K36" s="17">
        <f>HLOOKUP("Hardisty Bow River",'[2]Deloitte Forecast Input Esc'!$2:$53,2+'[2]Deloitte Forecast Input Esc'!A13,FALSE)</f>
        <v>83.699999999999989</v>
      </c>
      <c r="L36" s="36">
        <f>HLOOKUP("Hardisty Heavy",'[2]Deloitte Forecast Input Esc'!$2:$53,2+'[2]Deloitte Forecast Input Esc'!A13,FALSE)</f>
        <v>75.95</v>
      </c>
      <c r="M36" s="34">
        <f>HLOOKUP("Ethane FOB Edmonton",'[2]Deloitte Forecast Input Esc'!$2:$53,2+'[2]Deloitte Forecast Input Esc'!A13,FALSE)</f>
        <v>13.55</v>
      </c>
      <c r="N36" s="35">
        <f>HLOOKUP("Propane FOB Edmonton",'[2]Deloitte Forecast Input Esc'!$2:$53,2+'[2]Deloitte Forecast Input Esc'!A13,FALSE)</f>
        <v>39.900000000000006</v>
      </c>
      <c r="O36" s="35">
        <f>HLOOKUP("Butane FOB Edmonton",'[2]Deloitte Forecast Input Esc'!$2:$53,2+'[2]Deloitte Forecast Input Esc'!A13,FALSE)</f>
        <v>59.95</v>
      </c>
      <c r="P36" s="36">
        <f>HLOOKUP("Condensate FOB Edmonton",'[2]Deloitte Forecast Input Esc'!$2:$53,2+'[2]Deloitte Forecast Input Esc'!A13,FALSE)</f>
        <v>99.85</v>
      </c>
      <c r="Q36" s="37">
        <f>HLOOKUP("Alberta Gas Reference",'[2]Deloitte Forecast Input Esc'!$2:$53,2+'[2]Deloitte Forecast Input Esc'!A13,FALSE)</f>
        <v>4.6000000000000005</v>
      </c>
      <c r="R36" s="37">
        <f>HLOOKUP("AECO-C Spot",'[2]Deloitte Forecast Input Real'!$2:$53,2+'[2]Deloitte Forecast Input Real'!A13,FALSE)</f>
        <v>4.0500000000000007</v>
      </c>
      <c r="S36" s="37">
        <f>HLOOKUP("AECO-C Spot",'[2]Deloitte Forecast Input Esc'!$2:$53,2+'[2]Deloitte Forecast Input Esc'!A13,FALSE)</f>
        <v>4.8499999999999996</v>
      </c>
      <c r="T36" s="37">
        <f>HLOOKUP("BC Westcoast Station 2",'[2]Deloitte Forecast Input Esc'!$2:$53,2+'[2]Deloitte Forecast Input Esc'!A13,FALSE)</f>
        <v>4.25</v>
      </c>
      <c r="U36" s="37">
        <f>HLOOKUP("NYMEX Henry Hub",'[2]Deloitte Forecast Input Real'!$2:$53,2+'[2]Deloitte Forecast Input Real'!A13,FALSE)</f>
        <v>4.05</v>
      </c>
      <c r="V36" s="38">
        <f>HLOOKUP("NYMEX Henry Hub",'[2]Deloitte Forecast Input Esc'!$2:$53,2+'[2]Deloitte Forecast Input Esc'!A13,FALSE)</f>
        <v>4.8499999999999996</v>
      </c>
      <c r="W36" s="38">
        <f>HLOOKUP("Sulphur Alberta Plantgate",'[2]Deloitte Forecast Input Esc'!$2:$53,2+'[2]Deloitte Forecast Input Esc'!A13,FALSE)</f>
        <v>59.75</v>
      </c>
    </row>
    <row r="37" spans="1:23" x14ac:dyDescent="0.2">
      <c r="A37" s="11"/>
      <c r="B37" s="16">
        <f t="shared" si="6"/>
        <v>2027</v>
      </c>
      <c r="C37" s="13">
        <f>HLOOKUP("Price Inflation",'[2]Deloitte Forecast Input Esc'!$2:$53,2+'[2]Deloitte Forecast Input Esc'!A14,FALSE)</f>
        <v>0.02</v>
      </c>
      <c r="D37" s="13">
        <f>HLOOKUP("Price Inflation",'[2]Deloitte Forecast Input Esc'!$2:$53,2+'[2]Deloitte Forecast Input Esc'!A14,FALSE)</f>
        <v>0.02</v>
      </c>
      <c r="E37" s="31">
        <f>HLOOKUP("Canadian Dollar",'[2]Deloitte Forecast Input Esc'!$2:$53,2+'[2]Deloitte Forecast Input Esc'!A14,FALSE)</f>
        <v>0.85</v>
      </c>
      <c r="F37" s="32">
        <f>HLOOKUP("WTI",'[2]Deloitte Forecast Input Real'!$2:$53,2+'[2]Deloitte Forecast Input Real'!A14,FALSE)</f>
        <v>75</v>
      </c>
      <c r="G37" s="17">
        <f>HLOOKUP("WTI",'[2]Deloitte Forecast Input Esc'!$2:$53,2+'[2]Deloitte Forecast Input Esc'!A14,FALSE)</f>
        <v>91.4</v>
      </c>
      <c r="H37" s="17">
        <f>HLOOKUP("Edmonton Light",'[2]Deloitte Forecast Input Real'!$2:$53,2+'[2]Deloitte Forecast Input Real'!A14,FALSE)</f>
        <v>83.550000000000011</v>
      </c>
      <c r="I37" s="17">
        <f>HLOOKUP("Edmonton Light",'[2]Deloitte Forecast Input Esc'!$2:$53,2+'[2]Deloitte Forecast Input Esc'!A14,FALSE)</f>
        <v>101.85000000000001</v>
      </c>
      <c r="J37" s="17">
        <f>HLOOKUP("Hardisty WCS",'[2]Deloitte Forecast Input Esc'!$2:$53,2+'[2]Deloitte Forecast Input Esc'!A14,FALSE)</f>
        <v>82.35</v>
      </c>
      <c r="K37" s="17">
        <f>HLOOKUP("Hardisty Bow River",'[2]Deloitte Forecast Input Esc'!$2:$53,2+'[2]Deloitte Forecast Input Esc'!A14,FALSE)</f>
        <v>85.399999999999991</v>
      </c>
      <c r="L37" s="36">
        <f>HLOOKUP("Hardisty Heavy",'[2]Deloitte Forecast Input Esc'!$2:$53,2+'[2]Deloitte Forecast Input Esc'!A14,FALSE)</f>
        <v>77.45</v>
      </c>
      <c r="M37" s="34">
        <f>HLOOKUP("Ethane FOB Edmonton",'[2]Deloitte Forecast Input Esc'!$2:$53,2+'[2]Deloitte Forecast Input Esc'!A14,FALSE)</f>
        <v>14</v>
      </c>
      <c r="N37" s="35">
        <f>HLOOKUP("Propane FOB Edmonton",'[2]Deloitte Forecast Input Esc'!$2:$53,2+'[2]Deloitte Forecast Input Esc'!A14,FALSE)</f>
        <v>40.700000000000003</v>
      </c>
      <c r="O37" s="35">
        <f>HLOOKUP("Butane FOB Edmonton",'[2]Deloitte Forecast Input Esc'!$2:$53,2+'[2]Deloitte Forecast Input Esc'!A14,FALSE)</f>
        <v>61.150000000000006</v>
      </c>
      <c r="P37" s="36">
        <f>HLOOKUP("Condensate FOB Edmonton",'[2]Deloitte Forecast Input Esc'!$2:$53,2+'[2]Deloitte Forecast Input Esc'!A14,FALSE)</f>
        <v>101.85000000000001</v>
      </c>
      <c r="Q37" s="37">
        <f>HLOOKUP("Alberta Gas Reference",'[2]Deloitte Forecast Input Esc'!$2:$53,2+'[2]Deloitte Forecast Input Esc'!A14,FALSE)</f>
        <v>4.75</v>
      </c>
      <c r="R37" s="37">
        <f>HLOOKUP("AECO-C Spot",'[2]Deloitte Forecast Input Real'!$2:$53,2+'[2]Deloitte Forecast Input Real'!A14,FALSE)</f>
        <v>4.0999999999999996</v>
      </c>
      <c r="S37" s="37">
        <f>HLOOKUP("AECO-C Spot",'[2]Deloitte Forecast Input Esc'!$2:$53,2+'[2]Deloitte Forecast Input Esc'!A14,FALSE)</f>
        <v>5</v>
      </c>
      <c r="T37" s="37">
        <f>HLOOKUP("BC Westcoast Station 2",'[2]Deloitte Forecast Input Esc'!$2:$53,2+'[2]Deloitte Forecast Input Esc'!A14,FALSE)</f>
        <v>4.4000000000000004</v>
      </c>
      <c r="U37" s="37">
        <f>HLOOKUP("NYMEX Henry Hub",'[2]Deloitte Forecast Input Real'!$2:$53,2+'[2]Deloitte Forecast Input Real'!A14,FALSE)</f>
        <v>4.0999999999999996</v>
      </c>
      <c r="V37" s="38">
        <f>HLOOKUP("NYMEX Henry Hub",'[2]Deloitte Forecast Input Esc'!$2:$53,2+'[2]Deloitte Forecast Input Esc'!A14,FALSE)</f>
        <v>5</v>
      </c>
      <c r="W37" s="38">
        <f>HLOOKUP("Sulphur Alberta Plantgate",'[2]Deloitte Forecast Input Esc'!$2:$53,2+'[2]Deloitte Forecast Input Esc'!A14,FALSE)</f>
        <v>60.949999999999996</v>
      </c>
    </row>
    <row r="38" spans="1:23" x14ac:dyDescent="0.2">
      <c r="A38" s="11"/>
      <c r="B38" s="16">
        <f t="shared" si="6"/>
        <v>2028</v>
      </c>
      <c r="C38" s="13">
        <f>HLOOKUP("Price Inflation",'[2]Deloitte Forecast Input Esc'!$2:$53,2+'[2]Deloitte Forecast Input Esc'!A15,FALSE)</f>
        <v>0.02</v>
      </c>
      <c r="D38" s="13">
        <f>HLOOKUP("Price Inflation",'[2]Deloitte Forecast Input Esc'!$2:$53,2+'[2]Deloitte Forecast Input Esc'!A15,FALSE)</f>
        <v>0.02</v>
      </c>
      <c r="E38" s="31">
        <f>HLOOKUP("Canadian Dollar",'[2]Deloitte Forecast Input Esc'!$2:$53,2+'[2]Deloitte Forecast Input Esc'!A15,FALSE)</f>
        <v>0.85</v>
      </c>
      <c r="F38" s="32">
        <f>HLOOKUP("WTI",'[2]Deloitte Forecast Input Real'!$2:$53,2+'[2]Deloitte Forecast Input Real'!A15,FALSE)</f>
        <v>75</v>
      </c>
      <c r="G38" s="17">
        <f>HLOOKUP("WTI",'[2]Deloitte Forecast Input Esc'!$2:$53,2+'[2]Deloitte Forecast Input Esc'!A15,FALSE)</f>
        <v>93.25</v>
      </c>
      <c r="H38" s="17">
        <f>HLOOKUP("Edmonton Light",'[2]Deloitte Forecast Input Real'!$2:$53,2+'[2]Deloitte Forecast Input Real'!A15,FALSE)</f>
        <v>83.550000000000011</v>
      </c>
      <c r="I38" s="17">
        <f>HLOOKUP("Edmonton Light",'[2]Deloitte Forecast Input Esc'!$2:$53,2+'[2]Deloitte Forecast Input Esc'!A15,FALSE)</f>
        <v>103.9</v>
      </c>
      <c r="J38" s="17">
        <f>HLOOKUP("Hardisty WCS",'[2]Deloitte Forecast Input Esc'!$2:$53,2+'[2]Deloitte Forecast Input Esc'!A15,FALSE)</f>
        <v>84</v>
      </c>
      <c r="K38" s="17">
        <f>HLOOKUP("Hardisty Bow River",'[2]Deloitte Forecast Input Esc'!$2:$53,2+'[2]Deloitte Forecast Input Esc'!A15,FALSE)</f>
        <v>87.100000000000009</v>
      </c>
      <c r="L38" s="36">
        <f>HLOOKUP("Hardisty Heavy",'[2]Deloitte Forecast Input Esc'!$2:$53,2+'[2]Deloitte Forecast Input Esc'!A15,FALSE)</f>
        <v>79</v>
      </c>
      <c r="M38" s="34">
        <f>HLOOKUP("Ethane FOB Edmonton",'[2]Deloitte Forecast Input Esc'!$2:$53,2+'[2]Deloitte Forecast Input Esc'!A15,FALSE)</f>
        <v>14.299999999999999</v>
      </c>
      <c r="N38" s="35">
        <f>HLOOKUP("Propane FOB Edmonton",'[2]Deloitte Forecast Input Esc'!$2:$53,2+'[2]Deloitte Forecast Input Esc'!A15,FALSE)</f>
        <v>41.550000000000004</v>
      </c>
      <c r="O38" s="35">
        <f>HLOOKUP("Butane FOB Edmonton",'[2]Deloitte Forecast Input Esc'!$2:$53,2+'[2]Deloitte Forecast Input Esc'!A15,FALSE)</f>
        <v>62.35</v>
      </c>
      <c r="P38" s="36">
        <f>HLOOKUP("Condensate FOB Edmonton",'[2]Deloitte Forecast Input Esc'!$2:$53,2+'[2]Deloitte Forecast Input Esc'!A15,FALSE)</f>
        <v>103.9</v>
      </c>
      <c r="Q38" s="37">
        <f>HLOOKUP("Alberta Gas Reference",'[2]Deloitte Forecast Input Esc'!$2:$53,2+'[2]Deloitte Forecast Input Esc'!A15,FALSE)</f>
        <v>4.8499999999999996</v>
      </c>
      <c r="R38" s="37">
        <f>HLOOKUP("AECO-C Spot",'[2]Deloitte Forecast Input Real'!$2:$53,2+'[2]Deloitte Forecast Input Real'!A15,FALSE)</f>
        <v>4.0999999999999996</v>
      </c>
      <c r="S38" s="37">
        <f>HLOOKUP("AECO-C Spot",'[2]Deloitte Forecast Input Esc'!$2:$53,2+'[2]Deloitte Forecast Input Esc'!A15,FALSE)</f>
        <v>5.0999999999999996</v>
      </c>
      <c r="T38" s="37">
        <f>HLOOKUP("BC Westcoast Station 2",'[2]Deloitte Forecast Input Esc'!$2:$53,2+'[2]Deloitte Forecast Input Esc'!A15,FALSE)</f>
        <v>4.5</v>
      </c>
      <c r="U38" s="37">
        <f>HLOOKUP("NYMEX Henry Hub",'[2]Deloitte Forecast Input Real'!$2:$53,2+'[2]Deloitte Forecast Input Real'!A15,FALSE)</f>
        <v>4.0999999999999996</v>
      </c>
      <c r="V38" s="38">
        <f>HLOOKUP("NYMEX Henry Hub",'[2]Deloitte Forecast Input Esc'!$2:$53,2+'[2]Deloitte Forecast Input Esc'!A15,FALSE)</f>
        <v>5.0999999999999996</v>
      </c>
      <c r="W38" s="38">
        <f>HLOOKUP("Sulphur Alberta Plantgate",'[2]Deloitte Forecast Input Esc'!$2:$53,2+'[2]Deloitte Forecast Input Esc'!A15,FALSE)</f>
        <v>62.15</v>
      </c>
    </row>
    <row r="39" spans="1:23" x14ac:dyDescent="0.2">
      <c r="A39" s="11"/>
      <c r="B39" s="16">
        <f t="shared" si="6"/>
        <v>2029</v>
      </c>
      <c r="C39" s="13">
        <f>HLOOKUP("Price Inflation",'[2]Deloitte Forecast Input Esc'!$2:$53,2+'[2]Deloitte Forecast Input Esc'!A16,FALSE)</f>
        <v>0.02</v>
      </c>
      <c r="D39" s="13">
        <f>HLOOKUP("Price Inflation",'[2]Deloitte Forecast Input Esc'!$2:$53,2+'[2]Deloitte Forecast Input Esc'!A16,FALSE)</f>
        <v>0.02</v>
      </c>
      <c r="E39" s="31">
        <f>HLOOKUP("Canadian Dollar",'[2]Deloitte Forecast Input Esc'!$2:$53,2+'[2]Deloitte Forecast Input Esc'!A16,FALSE)</f>
        <v>0.85</v>
      </c>
      <c r="F39" s="32">
        <f>HLOOKUP("WTI",'[2]Deloitte Forecast Input Real'!$2:$53,2+'[2]Deloitte Forecast Input Real'!A16,FALSE)</f>
        <v>75</v>
      </c>
      <c r="G39" s="17">
        <f>HLOOKUP("WTI",'[2]Deloitte Forecast Input Esc'!$2:$53,2+'[2]Deloitte Forecast Input Esc'!A16,FALSE)</f>
        <v>95.1</v>
      </c>
      <c r="H39" s="17">
        <f>HLOOKUP("Edmonton Light",'[2]Deloitte Forecast Input Real'!$2:$53,2+'[2]Deloitte Forecast Input Real'!A16,FALSE)</f>
        <v>83.550000000000011</v>
      </c>
      <c r="I39" s="17">
        <f>HLOOKUP("Edmonton Light",'[2]Deloitte Forecast Input Esc'!$2:$53,2+'[2]Deloitte Forecast Input Esc'!A16,FALSE)</f>
        <v>105.95</v>
      </c>
      <c r="J39" s="17">
        <f>HLOOKUP("Hardisty WCS",'[2]Deloitte Forecast Input Esc'!$2:$53,2+'[2]Deloitte Forecast Input Esc'!A16,FALSE)</f>
        <v>85.649999999999991</v>
      </c>
      <c r="K39" s="17">
        <f>HLOOKUP("Hardisty Bow River",'[2]Deloitte Forecast Input Esc'!$2:$53,2+'[2]Deloitte Forecast Input Esc'!A16,FALSE)</f>
        <v>88.85</v>
      </c>
      <c r="L39" s="36">
        <f>HLOOKUP("Hardisty Heavy",'[2]Deloitte Forecast Input Esc'!$2:$53,2+'[2]Deloitte Forecast Input Esc'!A16,FALSE)</f>
        <v>80.600000000000009</v>
      </c>
      <c r="M39" s="34">
        <f>HLOOKUP("Ethane FOB Edmonton",'[2]Deloitte Forecast Input Esc'!$2:$53,2+'[2]Deloitte Forecast Input Esc'!A16,FALSE)</f>
        <v>14.6</v>
      </c>
      <c r="N39" s="35">
        <f>HLOOKUP("Propane FOB Edmonton",'[2]Deloitte Forecast Input Esc'!$2:$53,2+'[2]Deloitte Forecast Input Esc'!A16,FALSE)</f>
        <v>42.35</v>
      </c>
      <c r="O39" s="35">
        <f>HLOOKUP("Butane FOB Edmonton",'[2]Deloitte Forecast Input Esc'!$2:$53,2+'[2]Deloitte Forecast Input Esc'!A16,FALSE)</f>
        <v>63.6</v>
      </c>
      <c r="P39" s="36">
        <f>HLOOKUP("Condensate FOB Edmonton",'[2]Deloitte Forecast Input Esc'!$2:$53,2+'[2]Deloitte Forecast Input Esc'!A16,FALSE)</f>
        <v>105.95</v>
      </c>
      <c r="Q39" s="37">
        <f>HLOOKUP("Alberta Gas Reference",'[2]Deloitte Forecast Input Esc'!$2:$53,2+'[2]Deloitte Forecast Input Esc'!A16,FALSE)</f>
        <v>4.95</v>
      </c>
      <c r="R39" s="37">
        <f>HLOOKUP("AECO-C Spot",'[2]Deloitte Forecast Input Real'!$2:$53,2+'[2]Deloitte Forecast Input Real'!A16,FALSE)</f>
        <v>4.0999999999999996</v>
      </c>
      <c r="S39" s="37">
        <f>HLOOKUP("AECO-C Spot",'[2]Deloitte Forecast Input Esc'!$2:$53,2+'[2]Deloitte Forecast Input Esc'!A16,FALSE)</f>
        <v>5.2</v>
      </c>
      <c r="T39" s="37">
        <f>HLOOKUP("BC Westcoast Station 2",'[2]Deloitte Forecast Input Esc'!$2:$53,2+'[2]Deloitte Forecast Input Esc'!A16,FALSE)</f>
        <v>4.55</v>
      </c>
      <c r="U39" s="37">
        <f>HLOOKUP("NYMEX Henry Hub",'[2]Deloitte Forecast Input Real'!$2:$53,2+'[2]Deloitte Forecast Input Real'!A16,FALSE)</f>
        <v>4.0999999999999996</v>
      </c>
      <c r="V39" s="38">
        <f>HLOOKUP("NYMEX Henry Hub",'[2]Deloitte Forecast Input Esc'!$2:$53,2+'[2]Deloitte Forecast Input Esc'!A16,FALSE)</f>
        <v>5.2</v>
      </c>
      <c r="W39" s="38">
        <f>HLOOKUP("Sulphur Alberta Plantgate",'[2]Deloitte Forecast Input Esc'!$2:$53,2+'[2]Deloitte Forecast Input Esc'!A16,FALSE)</f>
        <v>63.4</v>
      </c>
    </row>
    <row r="40" spans="1:23" x14ac:dyDescent="0.2">
      <c r="A40" s="11"/>
      <c r="B40" s="16">
        <f t="shared" si="6"/>
        <v>2030</v>
      </c>
      <c r="C40" s="13">
        <f>HLOOKUP("Price Inflation",'[2]Deloitte Forecast Input Esc'!$2:$53,2+'[2]Deloitte Forecast Input Esc'!A17,FALSE)</f>
        <v>0.02</v>
      </c>
      <c r="D40" s="13">
        <f>HLOOKUP("Price Inflation",'[2]Deloitte Forecast Input Esc'!$2:$53,2+'[2]Deloitte Forecast Input Esc'!A17,FALSE)</f>
        <v>0.02</v>
      </c>
      <c r="E40" s="31">
        <f>HLOOKUP("Canadian Dollar",'[2]Deloitte Forecast Input Esc'!$2:$53,2+'[2]Deloitte Forecast Input Esc'!A17,FALSE)</f>
        <v>0.85</v>
      </c>
      <c r="F40" s="32">
        <f>HLOOKUP("WTI",'[2]Deloitte Forecast Input Real'!$2:$53,2+'[2]Deloitte Forecast Input Real'!A17,FALSE)</f>
        <v>75</v>
      </c>
      <c r="G40" s="17">
        <f>HLOOKUP("WTI",'[2]Deloitte Forecast Input Esc'!$2:$53,2+'[2]Deloitte Forecast Input Esc'!A17,FALSE)</f>
        <v>97</v>
      </c>
      <c r="H40" s="17">
        <f>HLOOKUP("Edmonton Light",'[2]Deloitte Forecast Input Real'!$2:$53,2+'[2]Deloitte Forecast Input Real'!A17,FALSE)</f>
        <v>83.550000000000011</v>
      </c>
      <c r="I40" s="17">
        <f>HLOOKUP("Edmonton Light",'[2]Deloitte Forecast Input Esc'!$2:$53,2+'[2]Deloitte Forecast Input Esc'!A17,FALSE)</f>
        <v>108.10000000000001</v>
      </c>
      <c r="J40" s="17">
        <f>HLOOKUP("Hardisty WCS",'[2]Deloitte Forecast Input Esc'!$2:$53,2+'[2]Deloitte Forecast Input Esc'!A17,FALSE)</f>
        <v>87.4</v>
      </c>
      <c r="K40" s="17">
        <f>HLOOKUP("Hardisty Bow River",'[2]Deloitte Forecast Input Esc'!$2:$53,2+'[2]Deloitte Forecast Input Esc'!A17,FALSE)</f>
        <v>90.600000000000009</v>
      </c>
      <c r="L40" s="36">
        <f>HLOOKUP("Hardisty Heavy",'[2]Deloitte Forecast Input Esc'!$2:$53,2+'[2]Deloitte Forecast Input Esc'!A17,FALSE)</f>
        <v>82.2</v>
      </c>
      <c r="M40" s="34">
        <f>HLOOKUP("Ethane FOB Edmonton",'[2]Deloitte Forecast Input Esc'!$2:$53,2+'[2]Deloitte Forecast Input Esc'!A17,FALSE)</f>
        <v>14.9</v>
      </c>
      <c r="N40" s="35">
        <f>HLOOKUP("Propane FOB Edmonton",'[2]Deloitte Forecast Input Esc'!$2:$53,2+'[2]Deloitte Forecast Input Esc'!A17,FALSE)</f>
        <v>43.2</v>
      </c>
      <c r="O40" s="35">
        <f>HLOOKUP("Butane FOB Edmonton",'[2]Deloitte Forecast Input Esc'!$2:$53,2+'[2]Deloitte Forecast Input Esc'!A17,FALSE)</f>
        <v>64.850000000000009</v>
      </c>
      <c r="P40" s="36">
        <f>HLOOKUP("Condensate FOB Edmonton",'[2]Deloitte Forecast Input Esc'!$2:$53,2+'[2]Deloitte Forecast Input Esc'!A17,FALSE)</f>
        <v>108.10000000000001</v>
      </c>
      <c r="Q40" s="37">
        <f>HLOOKUP("Alberta Gas Reference",'[2]Deloitte Forecast Input Esc'!$2:$53,2+'[2]Deloitte Forecast Input Esc'!A17,FALSE)</f>
        <v>5.05</v>
      </c>
      <c r="R40" s="37">
        <f>HLOOKUP("AECO-C Spot",'[2]Deloitte Forecast Input Real'!$2:$53,2+'[2]Deloitte Forecast Input Real'!A17,FALSE)</f>
        <v>4.0999999999999996</v>
      </c>
      <c r="S40" s="37">
        <f>HLOOKUP("AECO-C Spot",'[2]Deloitte Forecast Input Esc'!$2:$53,2+'[2]Deloitte Forecast Input Esc'!A17,FALSE)</f>
        <v>5.3000000000000007</v>
      </c>
      <c r="T40" s="37">
        <f>HLOOKUP("BC Westcoast Station 2",'[2]Deloitte Forecast Input Esc'!$2:$53,2+'[2]Deloitte Forecast Input Esc'!A17,FALSE)</f>
        <v>4.6500000000000004</v>
      </c>
      <c r="U40" s="37">
        <f>HLOOKUP("NYMEX Henry Hub",'[2]Deloitte Forecast Input Real'!$2:$53,2+'[2]Deloitte Forecast Input Real'!A17,FALSE)</f>
        <v>4.0999999999999996</v>
      </c>
      <c r="V40" s="38">
        <f>HLOOKUP("NYMEX Henry Hub",'[2]Deloitte Forecast Input Esc'!$2:$53,2+'[2]Deloitte Forecast Input Esc'!A17,FALSE)</f>
        <v>5.3000000000000007</v>
      </c>
      <c r="W40" s="38">
        <f>HLOOKUP("Sulphur Alberta Plantgate",'[2]Deloitte Forecast Input Esc'!$2:$53,2+'[2]Deloitte Forecast Input Esc'!A17,FALSE)</f>
        <v>64.7</v>
      </c>
    </row>
    <row r="41" spans="1:23" x14ac:dyDescent="0.2">
      <c r="A41" s="11"/>
      <c r="B41" s="16">
        <f t="shared" si="6"/>
        <v>2031</v>
      </c>
      <c r="C41" s="13">
        <f>HLOOKUP("Price Inflation",'[2]Deloitte Forecast Input Esc'!$2:$53,2+'[2]Deloitte Forecast Input Esc'!A18,FALSE)</f>
        <v>0.02</v>
      </c>
      <c r="D41" s="13">
        <f>HLOOKUP("Price Inflation",'[2]Deloitte Forecast Input Esc'!$2:$53,2+'[2]Deloitte Forecast Input Esc'!A18,FALSE)</f>
        <v>0.02</v>
      </c>
      <c r="E41" s="31">
        <f>HLOOKUP("Canadian Dollar",'[2]Deloitte Forecast Input Esc'!$2:$53,2+'[2]Deloitte Forecast Input Esc'!A18,FALSE)</f>
        <v>0.85</v>
      </c>
      <c r="F41" s="32">
        <f>HLOOKUP("WTI",'[2]Deloitte Forecast Input Real'!$2:$53,2+'[2]Deloitte Forecast Input Real'!A18,FALSE)</f>
        <v>75</v>
      </c>
      <c r="G41" s="17">
        <f>HLOOKUP("WTI",'[2]Deloitte Forecast Input Esc'!$2:$53,2+'[2]Deloitte Forecast Input Esc'!A18,FALSE)</f>
        <v>98.949999999999989</v>
      </c>
      <c r="H41" s="17">
        <f>HLOOKUP("Edmonton Light",'[2]Deloitte Forecast Input Real'!$2:$53,2+'[2]Deloitte Forecast Input Real'!A18,FALSE)</f>
        <v>83.550000000000011</v>
      </c>
      <c r="I41" s="17">
        <f>HLOOKUP("Edmonton Light",'[2]Deloitte Forecast Input Esc'!$2:$53,2+'[2]Deloitte Forecast Input Esc'!A18,FALSE)</f>
        <v>110.25</v>
      </c>
      <c r="J41" s="17">
        <f>HLOOKUP("Hardisty WCS",'[2]Deloitte Forecast Input Esc'!$2:$53,2+'[2]Deloitte Forecast Input Esc'!A18,FALSE)</f>
        <v>89.149999999999991</v>
      </c>
      <c r="K41" s="17">
        <f>HLOOKUP("Hardisty Bow River",'[2]Deloitte Forecast Input Esc'!$2:$53,2+'[2]Deloitte Forecast Input Esc'!A18,FALSE)</f>
        <v>92.449999999999989</v>
      </c>
      <c r="L41" s="36">
        <f>HLOOKUP("Hardisty Heavy",'[2]Deloitte Forecast Input Esc'!$2:$53,2+'[2]Deloitte Forecast Input Esc'!A18,FALSE)</f>
        <v>83.85</v>
      </c>
      <c r="M41" s="34">
        <f>HLOOKUP("Ethane FOB Edmonton",'[2]Deloitte Forecast Input Esc'!$2:$53,2+'[2]Deloitte Forecast Input Esc'!A18,FALSE)</f>
        <v>15.149999999999999</v>
      </c>
      <c r="N41" s="35">
        <f>HLOOKUP("Propane FOB Edmonton",'[2]Deloitte Forecast Input Esc'!$2:$53,2+'[2]Deloitte Forecast Input Esc'!A18,FALSE)</f>
        <v>44.050000000000004</v>
      </c>
      <c r="O41" s="35">
        <f>HLOOKUP("Butane FOB Edmonton",'[2]Deloitte Forecast Input Esc'!$2:$53,2+'[2]Deloitte Forecast Input Esc'!A18,FALSE)</f>
        <v>66.150000000000006</v>
      </c>
      <c r="P41" s="36">
        <f>HLOOKUP("Condensate FOB Edmonton",'[2]Deloitte Forecast Input Esc'!$2:$53,2+'[2]Deloitte Forecast Input Esc'!A18,FALSE)</f>
        <v>110.25</v>
      </c>
      <c r="Q41" s="37">
        <f>HLOOKUP("Alberta Gas Reference",'[2]Deloitte Forecast Input Esc'!$2:$53,2+'[2]Deloitte Forecast Input Esc'!A18,FALSE)</f>
        <v>5.15</v>
      </c>
      <c r="R41" s="37">
        <f>HLOOKUP("AECO-C Spot",'[2]Deloitte Forecast Input Real'!$2:$53,2+'[2]Deloitte Forecast Input Real'!A18,FALSE)</f>
        <v>4.0999999999999996</v>
      </c>
      <c r="S41" s="37">
        <f>HLOOKUP("AECO-C Spot",'[2]Deloitte Forecast Input Esc'!$2:$53,2+'[2]Deloitte Forecast Input Esc'!A18,FALSE)</f>
        <v>5.4</v>
      </c>
      <c r="T41" s="37">
        <f>HLOOKUP("BC Westcoast Station 2",'[2]Deloitte Forecast Input Esc'!$2:$53,2+'[2]Deloitte Forecast Input Esc'!A18,FALSE)</f>
        <v>4.75</v>
      </c>
      <c r="U41" s="37">
        <f>HLOOKUP("NYMEX Henry Hub",'[2]Deloitte Forecast Input Real'!$2:$53,2+'[2]Deloitte Forecast Input Real'!A18,FALSE)</f>
        <v>4.0999999999999996</v>
      </c>
      <c r="V41" s="38">
        <f>HLOOKUP("NYMEX Henry Hub",'[2]Deloitte Forecast Input Esc'!$2:$53,2+'[2]Deloitte Forecast Input Esc'!A18,FALSE)</f>
        <v>5.4</v>
      </c>
      <c r="W41" s="38">
        <f>HLOOKUP("Sulphur Alberta Plantgate",'[2]Deloitte Forecast Input Esc'!$2:$53,2+'[2]Deloitte Forecast Input Esc'!A18,FALSE)</f>
        <v>65.95</v>
      </c>
    </row>
    <row r="42" spans="1:23" x14ac:dyDescent="0.2">
      <c r="A42" s="11"/>
      <c r="B42" s="16">
        <f t="shared" si="6"/>
        <v>2032</v>
      </c>
      <c r="C42" s="13">
        <f>HLOOKUP("Price Inflation",'[2]Deloitte Forecast Input Esc'!$2:$53,2+'[2]Deloitte Forecast Input Esc'!A19,FALSE)</f>
        <v>0.02</v>
      </c>
      <c r="D42" s="13">
        <f>HLOOKUP("Price Inflation",'[2]Deloitte Forecast Input Esc'!$2:$53,2+'[2]Deloitte Forecast Input Esc'!A19,FALSE)</f>
        <v>0.02</v>
      </c>
      <c r="E42" s="31">
        <f>HLOOKUP("Canadian Dollar",'[2]Deloitte Forecast Input Esc'!$2:$53,2+'[2]Deloitte Forecast Input Esc'!A19,FALSE)</f>
        <v>0.85</v>
      </c>
      <c r="F42" s="32">
        <f>HLOOKUP("WTI",'[2]Deloitte Forecast Input Real'!$2:$53,2+'[2]Deloitte Forecast Input Real'!A19,FALSE)</f>
        <v>75</v>
      </c>
      <c r="G42" s="17">
        <f>HLOOKUP("WTI",'[2]Deloitte Forecast Input Esc'!$2:$53,2+'[2]Deloitte Forecast Input Esc'!A19,FALSE)</f>
        <v>100.95</v>
      </c>
      <c r="H42" s="17">
        <f>HLOOKUP("Edmonton Light",'[2]Deloitte Forecast Input Real'!$2:$53,2+'[2]Deloitte Forecast Input Real'!A19,FALSE)</f>
        <v>83.550000000000011</v>
      </c>
      <c r="I42" s="17">
        <f>HLOOKUP("Edmonton Light",'[2]Deloitte Forecast Input Esc'!$2:$53,2+'[2]Deloitte Forecast Input Esc'!A19,FALSE)</f>
        <v>112.44999999999999</v>
      </c>
      <c r="J42" s="17">
        <f>HLOOKUP("Hardisty WCS",'[2]Deloitte Forecast Input Esc'!$2:$53,2+'[2]Deloitte Forecast Input Esc'!A19,FALSE)</f>
        <v>90.9</v>
      </c>
      <c r="K42" s="17">
        <f>HLOOKUP("Hardisty Bow River",'[2]Deloitte Forecast Input Esc'!$2:$53,2+'[2]Deloitte Forecast Input Esc'!A19,FALSE)</f>
        <v>94.3</v>
      </c>
      <c r="L42" s="36">
        <f>HLOOKUP("Hardisty Heavy",'[2]Deloitte Forecast Input Esc'!$2:$53,2+'[2]Deloitte Forecast Input Esc'!A19,FALSE)</f>
        <v>85.55</v>
      </c>
      <c r="M42" s="34">
        <f>HLOOKUP("Ethane FOB Edmonton",'[2]Deloitte Forecast Input Esc'!$2:$53,2+'[2]Deloitte Forecast Input Esc'!A19,FALSE)</f>
        <v>15.5</v>
      </c>
      <c r="N42" s="35">
        <f>HLOOKUP("Propane FOB Edmonton",'[2]Deloitte Forecast Input Esc'!$2:$53,2+'[2]Deloitte Forecast Input Esc'!A19,FALSE)</f>
        <v>44.95</v>
      </c>
      <c r="O42" s="35">
        <f>HLOOKUP("Butane FOB Edmonton",'[2]Deloitte Forecast Input Esc'!$2:$53,2+'[2]Deloitte Forecast Input Esc'!A19,FALSE)</f>
        <v>67.5</v>
      </c>
      <c r="P42" s="36">
        <f>HLOOKUP("Condensate FOB Edmonton",'[2]Deloitte Forecast Input Esc'!$2:$53,2+'[2]Deloitte Forecast Input Esc'!A19,FALSE)</f>
        <v>112.44999999999999</v>
      </c>
      <c r="Q42" s="37">
        <f>HLOOKUP("Alberta Gas Reference",'[2]Deloitte Forecast Input Esc'!$2:$53,2+'[2]Deloitte Forecast Input Esc'!A19,FALSE)</f>
        <v>5.25</v>
      </c>
      <c r="R42" s="37">
        <f>HLOOKUP("AECO-C Spot",'[2]Deloitte Forecast Input Real'!$2:$53,2+'[2]Deloitte Forecast Input Real'!A19,FALSE)</f>
        <v>4.0999999999999996</v>
      </c>
      <c r="S42" s="37">
        <f>HLOOKUP("AECO-C Spot",'[2]Deloitte Forecast Input Esc'!$2:$53,2+'[2]Deloitte Forecast Input Esc'!A19,FALSE)</f>
        <v>5.5</v>
      </c>
      <c r="T42" s="37">
        <f>HLOOKUP("BC Westcoast Station 2",'[2]Deloitte Forecast Input Esc'!$2:$53,2+'[2]Deloitte Forecast Input Esc'!A19,FALSE)</f>
        <v>4.8499999999999996</v>
      </c>
      <c r="U42" s="37">
        <f>HLOOKUP("NYMEX Henry Hub",'[2]Deloitte Forecast Input Real'!$2:$53,2+'[2]Deloitte Forecast Input Real'!A19,FALSE)</f>
        <v>4.0999999999999996</v>
      </c>
      <c r="V42" s="38">
        <f>HLOOKUP("NYMEX Henry Hub",'[2]Deloitte Forecast Input Esc'!$2:$53,2+'[2]Deloitte Forecast Input Esc'!A19,FALSE)</f>
        <v>5.5</v>
      </c>
      <c r="W42" s="38">
        <f>HLOOKUP("Sulphur Alberta Plantgate",'[2]Deloitte Forecast Input Esc'!$2:$53,2+'[2]Deloitte Forecast Input Esc'!A19,FALSE)</f>
        <v>67.300000000000011</v>
      </c>
    </row>
    <row r="43" spans="1:23" x14ac:dyDescent="0.2">
      <c r="A43" s="11"/>
      <c r="B43" s="16">
        <f t="shared" si="6"/>
        <v>2033</v>
      </c>
      <c r="C43" s="13">
        <f>HLOOKUP("Price Inflation",'[2]Deloitte Forecast Input Esc'!$2:$53,2+'[2]Deloitte Forecast Input Esc'!A20,FALSE)</f>
        <v>0.02</v>
      </c>
      <c r="D43" s="13">
        <f>HLOOKUP("Price Inflation",'[2]Deloitte Forecast Input Esc'!$2:$53,2+'[2]Deloitte Forecast Input Esc'!A20,FALSE)</f>
        <v>0.02</v>
      </c>
      <c r="E43" s="31">
        <f>HLOOKUP("Canadian Dollar",'[2]Deloitte Forecast Input Esc'!$2:$53,2+'[2]Deloitte Forecast Input Esc'!A20,FALSE)</f>
        <v>0.85</v>
      </c>
      <c r="F43" s="32">
        <f>HLOOKUP("WTI",'[2]Deloitte Forecast Input Real'!$2:$53,2+'[2]Deloitte Forecast Input Real'!A20,FALSE)</f>
        <v>75</v>
      </c>
      <c r="G43" s="17">
        <f>HLOOKUP("WTI",'[2]Deloitte Forecast Input Esc'!$2:$53,2+'[2]Deloitte Forecast Input Esc'!A20,FALSE)</f>
        <v>102.95</v>
      </c>
      <c r="H43" s="17">
        <f>HLOOKUP("Edmonton Light",'[2]Deloitte Forecast Input Real'!$2:$53,2+'[2]Deloitte Forecast Input Real'!A20,FALSE)</f>
        <v>83.550000000000011</v>
      </c>
      <c r="I43" s="17">
        <f>HLOOKUP("Edmonton Light",'[2]Deloitte Forecast Input Esc'!$2:$53,2+'[2]Deloitte Forecast Input Esc'!A20,FALSE)</f>
        <v>114.7</v>
      </c>
      <c r="J43" s="17">
        <f>HLOOKUP("Hardisty WCS",'[2]Deloitte Forecast Input Esc'!$2:$53,2+'[2]Deloitte Forecast Input Esc'!A20,FALSE)</f>
        <v>92.75</v>
      </c>
      <c r="K43" s="17">
        <f>HLOOKUP("Hardisty Bow River",'[2]Deloitte Forecast Input Esc'!$2:$53,2+'[2]Deloitte Forecast Input Esc'!A20,FALSE)</f>
        <v>96.15</v>
      </c>
      <c r="L43" s="36">
        <f>HLOOKUP("Hardisty Heavy",'[2]Deloitte Forecast Input Esc'!$2:$53,2+'[2]Deloitte Forecast Input Esc'!A20,FALSE)</f>
        <v>87.25</v>
      </c>
      <c r="M43" s="34">
        <f>HLOOKUP("Ethane FOB Edmonton",'[2]Deloitte Forecast Input Esc'!$2:$53,2+'[2]Deloitte Forecast Input Esc'!A20,FALSE)</f>
        <v>15.8</v>
      </c>
      <c r="N43" s="35">
        <f>HLOOKUP("Propane FOB Edmonton",'[2]Deloitte Forecast Input Esc'!$2:$53,2+'[2]Deloitte Forecast Input Esc'!A20,FALSE)</f>
        <v>45.85</v>
      </c>
      <c r="O43" s="35">
        <f>HLOOKUP("Butane FOB Edmonton",'[2]Deloitte Forecast Input Esc'!$2:$53,2+'[2]Deloitte Forecast Input Esc'!A20,FALSE)</f>
        <v>68.849999999999994</v>
      </c>
      <c r="P43" s="36">
        <f>HLOOKUP("Condensate FOB Edmonton",'[2]Deloitte Forecast Input Esc'!$2:$53,2+'[2]Deloitte Forecast Input Esc'!A20,FALSE)</f>
        <v>114.7</v>
      </c>
      <c r="Q43" s="37">
        <f>HLOOKUP("Alberta Gas Reference",'[2]Deloitte Forecast Input Esc'!$2:$53,2+'[2]Deloitte Forecast Input Esc'!A20,FALSE)</f>
        <v>5.3500000000000005</v>
      </c>
      <c r="R43" s="37">
        <f>HLOOKUP("AECO-C Spot",'[2]Deloitte Forecast Input Real'!$2:$53,2+'[2]Deloitte Forecast Input Real'!A20,FALSE)</f>
        <v>4.0999999999999996</v>
      </c>
      <c r="S43" s="37">
        <f>HLOOKUP("AECO-C Spot",'[2]Deloitte Forecast Input Esc'!$2:$53,2+'[2]Deloitte Forecast Input Esc'!A20,FALSE)</f>
        <v>5.6499999999999995</v>
      </c>
      <c r="T43" s="37">
        <f>HLOOKUP("BC Westcoast Station 2",'[2]Deloitte Forecast Input Esc'!$2:$53,2+'[2]Deloitte Forecast Input Esc'!A20,FALSE)</f>
        <v>4.95</v>
      </c>
      <c r="U43" s="37">
        <f>HLOOKUP("NYMEX Henry Hub",'[2]Deloitte Forecast Input Real'!$2:$53,2+'[2]Deloitte Forecast Input Real'!A20,FALSE)</f>
        <v>4.0999999999999996</v>
      </c>
      <c r="V43" s="38">
        <f>HLOOKUP("NYMEX Henry Hub",'[2]Deloitte Forecast Input Esc'!$2:$53,2+'[2]Deloitte Forecast Input Esc'!A20,FALSE)</f>
        <v>5.6499999999999995</v>
      </c>
      <c r="W43" s="38">
        <f>HLOOKUP("Sulphur Alberta Plantgate",'[2]Deloitte Forecast Input Esc'!$2:$53,2+'[2]Deloitte Forecast Input Esc'!A20,FALSE)</f>
        <v>68.650000000000006</v>
      </c>
    </row>
    <row r="44" spans="1:23" x14ac:dyDescent="0.2">
      <c r="A44" s="11"/>
      <c r="B44" s="16">
        <f t="shared" si="6"/>
        <v>2034</v>
      </c>
      <c r="C44" s="13">
        <f>HLOOKUP("Price Inflation",'[2]Deloitte Forecast Input Esc'!$2:$53,2+'[2]Deloitte Forecast Input Esc'!A21,FALSE)</f>
        <v>0.02</v>
      </c>
      <c r="D44" s="13">
        <f>HLOOKUP("Price Inflation",'[2]Deloitte Forecast Input Esc'!$2:$53,2+'[2]Deloitte Forecast Input Esc'!A21,FALSE)</f>
        <v>0.02</v>
      </c>
      <c r="E44" s="31">
        <f>HLOOKUP("Canadian Dollar",'[2]Deloitte Forecast Input Esc'!$2:$53,2+'[2]Deloitte Forecast Input Esc'!A21,FALSE)</f>
        <v>0.85</v>
      </c>
      <c r="F44" s="32">
        <f>HLOOKUP("WTI",'[2]Deloitte Forecast Input Real'!$2:$53,2+'[2]Deloitte Forecast Input Real'!A21,FALSE)</f>
        <v>75</v>
      </c>
      <c r="G44" s="17">
        <f>HLOOKUP("WTI",'[2]Deloitte Forecast Input Esc'!$2:$53,2+'[2]Deloitte Forecast Input Esc'!A21,FALSE)</f>
        <v>105</v>
      </c>
      <c r="H44" s="17">
        <f>HLOOKUP("Edmonton Light",'[2]Deloitte Forecast Input Real'!$2:$53,2+'[2]Deloitte Forecast Input Real'!A21,FALSE)</f>
        <v>83.550000000000011</v>
      </c>
      <c r="I44" s="17">
        <f>HLOOKUP("Edmonton Light",'[2]Deloitte Forecast Input Esc'!$2:$53,2+'[2]Deloitte Forecast Input Esc'!A21,FALSE)</f>
        <v>117</v>
      </c>
      <c r="J44" s="17">
        <f>HLOOKUP("Hardisty WCS",'[2]Deloitte Forecast Input Esc'!$2:$53,2+'[2]Deloitte Forecast Input Esc'!A21,FALSE)</f>
        <v>94.600000000000009</v>
      </c>
      <c r="K44" s="17">
        <f>HLOOKUP("Hardisty Bow River",'[2]Deloitte Forecast Input Esc'!$2:$53,2+'[2]Deloitte Forecast Input Esc'!A21,FALSE)</f>
        <v>98.100000000000009</v>
      </c>
      <c r="L44" s="36">
        <f>HLOOKUP("Hardisty Heavy",'[2]Deloitte Forecast Input Esc'!$2:$53,2+'[2]Deloitte Forecast Input Esc'!A21,FALSE)</f>
        <v>89</v>
      </c>
      <c r="M44" s="34">
        <f>HLOOKUP("Ethane FOB Edmonton",'[2]Deloitte Forecast Input Esc'!$2:$53,2+'[2]Deloitte Forecast Input Esc'!A21,FALSE)</f>
        <v>16.100000000000001</v>
      </c>
      <c r="N44" s="35">
        <f>HLOOKUP("Propane FOB Edmonton",'[2]Deloitte Forecast Input Esc'!$2:$53,2+'[2]Deloitte Forecast Input Esc'!A21,FALSE)</f>
        <v>46.75</v>
      </c>
      <c r="O44" s="35">
        <f>HLOOKUP("Butane FOB Edmonton",'[2]Deloitte Forecast Input Esc'!$2:$53,2+'[2]Deloitte Forecast Input Esc'!A21,FALSE)</f>
        <v>70.199999999999989</v>
      </c>
      <c r="P44" s="36">
        <f>HLOOKUP("Condensate FOB Edmonton",'[2]Deloitte Forecast Input Esc'!$2:$53,2+'[2]Deloitte Forecast Input Esc'!A21,FALSE)</f>
        <v>117</v>
      </c>
      <c r="Q44" s="37">
        <f>HLOOKUP("Alberta Gas Reference",'[2]Deloitte Forecast Input Esc'!$2:$53,2+'[2]Deloitte Forecast Input Esc'!A21,FALSE)</f>
        <v>5.45</v>
      </c>
      <c r="R44" s="37">
        <f>HLOOKUP("AECO-C Spot",'[2]Deloitte Forecast Input Real'!$2:$53,2+'[2]Deloitte Forecast Input Real'!A21,FALSE)</f>
        <v>4.0999999999999996</v>
      </c>
      <c r="S44" s="37">
        <f>HLOOKUP("AECO-C Spot",'[2]Deloitte Forecast Input Esc'!$2:$53,2+'[2]Deloitte Forecast Input Esc'!A21,FALSE)</f>
        <v>5.75</v>
      </c>
      <c r="T44" s="37">
        <f>HLOOKUP("BC Westcoast Station 2",'[2]Deloitte Forecast Input Esc'!$2:$53,2+'[2]Deloitte Forecast Input Esc'!A21,FALSE)</f>
        <v>5.05</v>
      </c>
      <c r="U44" s="37">
        <f>HLOOKUP("NYMEX Henry Hub",'[2]Deloitte Forecast Input Real'!$2:$53,2+'[2]Deloitte Forecast Input Real'!A21,FALSE)</f>
        <v>4.0999999999999996</v>
      </c>
      <c r="V44" s="38">
        <f>HLOOKUP("NYMEX Henry Hub",'[2]Deloitte Forecast Input Esc'!$2:$53,2+'[2]Deloitte Forecast Input Esc'!A21,FALSE)</f>
        <v>5.75</v>
      </c>
      <c r="W44" s="38">
        <f>HLOOKUP("Sulphur Alberta Plantgate",'[2]Deloitte Forecast Input Esc'!$2:$53,2+'[2]Deloitte Forecast Input Esc'!A21,FALSE)</f>
        <v>70</v>
      </c>
    </row>
    <row r="45" spans="1:23" x14ac:dyDescent="0.2">
      <c r="A45" s="11"/>
      <c r="B45" s="16">
        <f t="shared" si="6"/>
        <v>2035</v>
      </c>
      <c r="C45" s="13">
        <f>HLOOKUP("Price Inflation",'[2]Deloitte Forecast Input Esc'!$2:$53,2+'[2]Deloitte Forecast Input Esc'!A22,FALSE)</f>
        <v>0.02</v>
      </c>
      <c r="D45" s="13">
        <f>HLOOKUP("Price Inflation",'[2]Deloitte Forecast Input Esc'!$2:$53,2+'[2]Deloitte Forecast Input Esc'!A22,FALSE)</f>
        <v>0.02</v>
      </c>
      <c r="E45" s="31">
        <f>HLOOKUP("Canadian Dollar",'[2]Deloitte Forecast Input Esc'!$2:$53,2+'[2]Deloitte Forecast Input Esc'!A22,FALSE)</f>
        <v>0.85</v>
      </c>
      <c r="F45" s="32">
        <f>HLOOKUP("WTI",'[2]Deloitte Forecast Input Real'!$2:$53,2+'[2]Deloitte Forecast Input Real'!A22,FALSE)</f>
        <v>75</v>
      </c>
      <c r="G45" s="17">
        <f>HLOOKUP("WTI",'[2]Deloitte Forecast Input Esc'!$2:$53,2+'[2]Deloitte Forecast Input Esc'!A22,FALSE)</f>
        <v>107.10000000000001</v>
      </c>
      <c r="H45" s="17">
        <f>HLOOKUP("Edmonton Light",'[2]Deloitte Forecast Input Real'!$2:$53,2+'[2]Deloitte Forecast Input Real'!A22,FALSE)</f>
        <v>83.550000000000011</v>
      </c>
      <c r="I45" s="17">
        <f>HLOOKUP("Edmonton Light",'[2]Deloitte Forecast Input Esc'!$2:$53,2+'[2]Deloitte Forecast Input Esc'!A22,FALSE)</f>
        <v>119.35000000000001</v>
      </c>
      <c r="J45" s="17">
        <f>HLOOKUP("Hardisty WCS",'[2]Deloitte Forecast Input Esc'!$2:$53,2+'[2]Deloitte Forecast Input Esc'!A22,FALSE)</f>
        <v>96.5</v>
      </c>
      <c r="K45" s="17">
        <f>HLOOKUP("Hardisty Bow River",'[2]Deloitte Forecast Input Esc'!$2:$53,2+'[2]Deloitte Forecast Input Esc'!A22,FALSE)</f>
        <v>100.05000000000001</v>
      </c>
      <c r="L45" s="36">
        <f>HLOOKUP("Hardisty Heavy",'[2]Deloitte Forecast Input Esc'!$2:$53,2+'[2]Deloitte Forecast Input Esc'!A22,FALSE)</f>
        <v>90.75</v>
      </c>
      <c r="M45" s="34">
        <f>HLOOKUP("Ethane FOB Edmonton",'[2]Deloitte Forecast Input Esc'!$2:$53,2+'[2]Deloitte Forecast Input Esc'!A22,FALSE)</f>
        <v>16.399999999999999</v>
      </c>
      <c r="N45" s="35">
        <f>HLOOKUP("Propane FOB Edmonton",'[2]Deloitte Forecast Input Esc'!$2:$53,2+'[2]Deloitte Forecast Input Esc'!A22,FALSE)</f>
        <v>47.699999999999996</v>
      </c>
      <c r="O45" s="35">
        <f>HLOOKUP("Butane FOB Edmonton",'[2]Deloitte Forecast Input Esc'!$2:$53,2+'[2]Deloitte Forecast Input Esc'!A22,FALSE)</f>
        <v>71.650000000000006</v>
      </c>
      <c r="P45" s="36">
        <f>HLOOKUP("Condensate FOB Edmonton",'[2]Deloitte Forecast Input Esc'!$2:$53,2+'[2]Deloitte Forecast Input Esc'!A22,FALSE)</f>
        <v>119.35000000000001</v>
      </c>
      <c r="Q45" s="37">
        <f>HLOOKUP("Alberta Gas Reference",'[2]Deloitte Forecast Input Esc'!$2:$53,2+'[2]Deloitte Forecast Input Esc'!A22,FALSE)</f>
        <v>5.5500000000000007</v>
      </c>
      <c r="R45" s="37">
        <f>HLOOKUP("AECO-C Spot",'[2]Deloitte Forecast Input Real'!$2:$53,2+'[2]Deloitte Forecast Input Real'!A22,FALSE)</f>
        <v>4.0999999999999996</v>
      </c>
      <c r="S45" s="37">
        <f>HLOOKUP("AECO-C Spot",'[2]Deloitte Forecast Input Esc'!$2:$53,2+'[2]Deloitte Forecast Input Esc'!A22,FALSE)</f>
        <v>5.85</v>
      </c>
      <c r="T45" s="37">
        <f>HLOOKUP("BC Westcoast Station 2",'[2]Deloitte Forecast Input Esc'!$2:$53,2+'[2]Deloitte Forecast Input Esc'!A22,FALSE)</f>
        <v>5.15</v>
      </c>
      <c r="U45" s="37">
        <f>HLOOKUP("NYMEX Henry Hub",'[2]Deloitte Forecast Input Real'!$2:$53,2+'[2]Deloitte Forecast Input Real'!A22,FALSE)</f>
        <v>4.0999999999999996</v>
      </c>
      <c r="V45" s="38">
        <f>HLOOKUP("NYMEX Henry Hub",'[2]Deloitte Forecast Input Esc'!$2:$53,2+'[2]Deloitte Forecast Input Esc'!A22,FALSE)</f>
        <v>5.85</v>
      </c>
      <c r="W45" s="38">
        <f>HLOOKUP("Sulphur Alberta Plantgate",'[2]Deloitte Forecast Input Esc'!$2:$53,2+'[2]Deloitte Forecast Input Esc'!A22,FALSE)</f>
        <v>71.399999999999991</v>
      </c>
    </row>
    <row r="46" spans="1:23" x14ac:dyDescent="0.2">
      <c r="A46" s="11"/>
      <c r="B46" s="16">
        <f t="shared" si="6"/>
        <v>2036</v>
      </c>
      <c r="C46" s="13">
        <f>HLOOKUP("Price Inflation",'[2]Deloitte Forecast Input Esc'!$2:$53,2+'[2]Deloitte Forecast Input Esc'!A23,FALSE)</f>
        <v>0.02</v>
      </c>
      <c r="D46" s="13">
        <f>HLOOKUP("Price Inflation",'[2]Deloitte Forecast Input Esc'!$2:$53,2+'[2]Deloitte Forecast Input Esc'!A23,FALSE)</f>
        <v>0.02</v>
      </c>
      <c r="E46" s="31">
        <f>HLOOKUP("Canadian Dollar",'[2]Deloitte Forecast Input Esc'!$2:$53,2+'[2]Deloitte Forecast Input Esc'!A23,FALSE)</f>
        <v>0.85</v>
      </c>
      <c r="F46" s="32">
        <f>HLOOKUP("WTI",'[2]Deloitte Forecast Input Real'!$2:$53,2+'[2]Deloitte Forecast Input Real'!A23,FALSE)</f>
        <v>75</v>
      </c>
      <c r="G46" s="17">
        <f>HLOOKUP("WTI",'[2]Deloitte Forecast Input Esc'!$2:$53,2+'[2]Deloitte Forecast Input Esc'!A23,FALSE)</f>
        <v>109.25</v>
      </c>
      <c r="H46" s="17">
        <f>HLOOKUP("Edmonton Light",'[2]Deloitte Forecast Input Real'!$2:$53,2+'[2]Deloitte Forecast Input Real'!A23,FALSE)</f>
        <v>83.550000000000011</v>
      </c>
      <c r="I46" s="17">
        <f>HLOOKUP("Edmonton Light",'[2]Deloitte Forecast Input Esc'!$2:$53,2+'[2]Deloitte Forecast Input Esc'!A23,FALSE)</f>
        <v>121.7</v>
      </c>
      <c r="J46" s="17">
        <f>HLOOKUP("Hardisty WCS",'[2]Deloitte Forecast Input Esc'!$2:$53,2+'[2]Deloitte Forecast Input Esc'!A23,FALSE)</f>
        <v>98.4</v>
      </c>
      <c r="K46" s="17">
        <f>HLOOKUP("Hardisty Bow River",'[2]Deloitte Forecast Input Esc'!$2:$53,2+'[2]Deloitte Forecast Input Esc'!A23,FALSE)</f>
        <v>102.05</v>
      </c>
      <c r="L46" s="36">
        <f>HLOOKUP("Hardisty Heavy",'[2]Deloitte Forecast Input Esc'!$2:$53,2+'[2]Deloitte Forecast Input Esc'!A23,FALSE)</f>
        <v>92.6</v>
      </c>
      <c r="M46" s="34">
        <f>HLOOKUP("Ethane FOB Edmonton",'[2]Deloitte Forecast Input Esc'!$2:$53,2+'[2]Deloitte Forecast Input Esc'!A23,FALSE)</f>
        <v>16.75</v>
      </c>
      <c r="N46" s="35">
        <f>HLOOKUP("Propane FOB Edmonton",'[2]Deloitte Forecast Input Esc'!$2:$53,2+'[2]Deloitte Forecast Input Esc'!A23,FALSE)</f>
        <v>48.650000000000006</v>
      </c>
      <c r="O46" s="35">
        <f>HLOOKUP("Butane FOB Edmonton",'[2]Deloitte Forecast Input Esc'!$2:$53,2+'[2]Deloitte Forecast Input Esc'!A23,FALSE)</f>
        <v>73.05</v>
      </c>
      <c r="P46" s="36">
        <f>HLOOKUP("Condensate FOB Edmonton",'[2]Deloitte Forecast Input Esc'!$2:$53,2+'[2]Deloitte Forecast Input Esc'!A23,FALSE)</f>
        <v>121.7</v>
      </c>
      <c r="Q46" s="37">
        <f>HLOOKUP("Alberta Gas Reference",'[2]Deloitte Forecast Input Esc'!$2:$53,2+'[2]Deloitte Forecast Input Esc'!A23,FALSE)</f>
        <v>5.6999999999999993</v>
      </c>
      <c r="R46" s="37">
        <f>HLOOKUP("AECO-C Spot",'[2]Deloitte Forecast Input Real'!$2:$53,2+'[2]Deloitte Forecast Input Real'!A23,FALSE)</f>
        <v>4.0999999999999996</v>
      </c>
      <c r="S46" s="37">
        <f>HLOOKUP("AECO-C Spot",'[2]Deloitte Forecast Input Esc'!$2:$53,2+'[2]Deloitte Forecast Input Esc'!A23,FALSE)</f>
        <v>5.9499999999999993</v>
      </c>
      <c r="T46" s="37">
        <f>HLOOKUP("BC Westcoast Station 2",'[2]Deloitte Forecast Input Esc'!$2:$53,2+'[2]Deloitte Forecast Input Esc'!A23,FALSE)</f>
        <v>5.25</v>
      </c>
      <c r="U46" s="37">
        <f>HLOOKUP("NYMEX Henry Hub",'[2]Deloitte Forecast Input Real'!$2:$53,2+'[2]Deloitte Forecast Input Real'!A23,FALSE)</f>
        <v>4.0999999999999996</v>
      </c>
      <c r="V46" s="38">
        <f>HLOOKUP("NYMEX Henry Hub",'[2]Deloitte Forecast Input Esc'!$2:$53,2+'[2]Deloitte Forecast Input Esc'!A23,FALSE)</f>
        <v>5.9499999999999993</v>
      </c>
      <c r="W46" s="38">
        <f>HLOOKUP("Sulphur Alberta Plantgate",'[2]Deloitte Forecast Input Esc'!$2:$53,2+'[2]Deloitte Forecast Input Esc'!A23,FALSE)</f>
        <v>72.849999999999994</v>
      </c>
    </row>
    <row r="47" spans="1:23" x14ac:dyDescent="0.2">
      <c r="A47" s="23"/>
      <c r="B47" s="28" t="str">
        <f>B46&amp;"+"</f>
        <v>2036+</v>
      </c>
      <c r="C47" s="58">
        <f>HLOOKUP("Price Inflation",'[2]Deloitte Forecast Input Esc'!$2:$53,2+'[2]Deloitte Forecast Input Esc'!A24,FALSE)</f>
        <v>0.02</v>
      </c>
      <c r="D47" s="58">
        <f>HLOOKUP("Price Inflation",'[2]Deloitte Forecast Input Esc'!$2:$53,2+'[2]Deloitte Forecast Input Esc'!A24,FALSE)</f>
        <v>0.02</v>
      </c>
      <c r="E47" s="59">
        <f>HLOOKUP("Canadian Dollar",'[2]Deloitte Forecast Input Esc'!$2:$53,2+'[2]Deloitte Forecast Input Esc'!A24,FALSE)</f>
        <v>0.85</v>
      </c>
      <c r="F47" s="60">
        <v>0</v>
      </c>
      <c r="G47" s="58">
        <f>$C$28</f>
        <v>0.02</v>
      </c>
      <c r="H47" s="58">
        <v>0</v>
      </c>
      <c r="I47" s="58">
        <f t="shared" ref="I47:Q47" si="7">$C$28</f>
        <v>0.02</v>
      </c>
      <c r="J47" s="58">
        <f t="shared" si="7"/>
        <v>0.02</v>
      </c>
      <c r="K47" s="58">
        <f t="shared" si="7"/>
        <v>0.02</v>
      </c>
      <c r="L47" s="61">
        <f t="shared" si="7"/>
        <v>0.02</v>
      </c>
      <c r="M47" s="58">
        <f t="shared" si="7"/>
        <v>0.02</v>
      </c>
      <c r="N47" s="58">
        <f t="shared" si="7"/>
        <v>0.02</v>
      </c>
      <c r="O47" s="58">
        <f t="shared" si="7"/>
        <v>0.02</v>
      </c>
      <c r="P47" s="61">
        <f t="shared" si="7"/>
        <v>0.02</v>
      </c>
      <c r="Q47" s="58">
        <f t="shared" si="7"/>
        <v>0.02</v>
      </c>
      <c r="R47" s="58">
        <v>0</v>
      </c>
      <c r="S47" s="58">
        <f>$C$28</f>
        <v>0.02</v>
      </c>
      <c r="T47" s="58">
        <f>$C$28</f>
        <v>0.02</v>
      </c>
      <c r="U47" s="58">
        <v>0</v>
      </c>
      <c r="V47" s="61">
        <f>$C$28</f>
        <v>0.02</v>
      </c>
      <c r="W47" s="62">
        <f>$C$28</f>
        <v>0.02</v>
      </c>
    </row>
    <row r="48" spans="1:23" x14ac:dyDescent="0.2">
      <c r="A48" s="53"/>
      <c r="B48" s="53"/>
      <c r="C48" s="2"/>
      <c r="D48" s="2"/>
      <c r="E48" s="3"/>
      <c r="F48" s="53"/>
      <c r="G48" s="53"/>
      <c r="H48" s="53"/>
      <c r="I48" s="5"/>
      <c r="J48" s="5"/>
      <c r="K48" s="5"/>
      <c r="L48" s="53"/>
      <c r="M48" s="53"/>
      <c r="N48" s="53"/>
      <c r="O48" s="53"/>
      <c r="P48" s="53"/>
      <c r="Q48" s="53"/>
      <c r="R48" s="53"/>
      <c r="S48" s="53"/>
      <c r="T48" s="53"/>
      <c r="U48" s="53"/>
      <c r="V48" s="53"/>
      <c r="W48" s="53"/>
    </row>
    <row r="49" spans="1:23" x14ac:dyDescent="0.2">
      <c r="A49" s="53"/>
      <c r="B49" s="53" t="s">
        <v>64</v>
      </c>
      <c r="C49" t="str">
        <f>'[2]Front Page'!C10</f>
        <v xml:space="preserve"> - All prices are in Canadian dollars except WTI and NYMEX gas which are in U.S. dollars</v>
      </c>
      <c r="D49" s="63"/>
      <c r="E49" s="3"/>
      <c r="F49" s="53"/>
      <c r="G49" s="53"/>
      <c r="H49" s="53"/>
      <c r="I49" s="5"/>
      <c r="J49" s="5"/>
      <c r="K49" s="5"/>
      <c r="L49" s="53"/>
      <c r="M49" s="53"/>
      <c r="N49" s="53"/>
      <c r="O49" s="53"/>
      <c r="P49" s="53"/>
      <c r="Q49" s="53"/>
      <c r="R49" s="53"/>
      <c r="S49" s="53"/>
      <c r="T49" s="53"/>
      <c r="U49" s="64"/>
      <c r="V49" s="64"/>
      <c r="W49" s="53"/>
    </row>
    <row r="50" spans="1:23" x14ac:dyDescent="0.2">
      <c r="A50" s="53"/>
      <c r="B50" s="53"/>
      <c r="C50" t="str">
        <f>'[2]Front Page'!C11</f>
        <v xml:space="preserve"> - Edmonton city gate prices based on historical light oil par prices posted by the government of Alberta and Net Energy differential futures (40 Deg. API &lt; 0.5% Sulphur)</v>
      </c>
      <c r="D50" s="63"/>
      <c r="E50" s="3"/>
      <c r="F50" s="53"/>
      <c r="G50" s="53"/>
      <c r="H50" s="53"/>
      <c r="I50" s="5"/>
      <c r="J50" s="5"/>
      <c r="K50" s="5"/>
      <c r="L50" s="53"/>
      <c r="M50" s="53"/>
      <c r="N50" s="53"/>
      <c r="O50" s="53"/>
      <c r="P50" s="53"/>
      <c r="Q50" s="53"/>
      <c r="R50" s="53"/>
      <c r="S50" s="53"/>
      <c r="T50" s="53"/>
      <c r="U50" s="53"/>
      <c r="V50" s="53"/>
      <c r="W50" s="53"/>
    </row>
    <row r="51" spans="1:23" x14ac:dyDescent="0.2">
      <c r="A51" s="53"/>
      <c r="B51" s="53"/>
      <c r="C51" t="str">
        <f>'[2]Front Page'!C12</f>
        <v xml:space="preserve"> - Natural Gas Liquid prices are forecasted at Edmonton therefore an additional transportation cost must be included to plant gate sales point</v>
      </c>
      <c r="D51" s="63"/>
      <c r="E51" s="3"/>
      <c r="F51" s="53"/>
      <c r="G51" s="53"/>
      <c r="H51" s="53"/>
      <c r="I51" s="5"/>
      <c r="J51" s="5"/>
      <c r="K51" s="5"/>
      <c r="L51" s="53"/>
      <c r="M51" s="53"/>
      <c r="N51" s="53"/>
      <c r="O51" s="53"/>
      <c r="P51" s="53"/>
      <c r="Q51" s="53"/>
      <c r="R51" s="53"/>
      <c r="S51" s="53"/>
      <c r="T51" s="53"/>
      <c r="U51" s="53"/>
      <c r="V51" s="53"/>
      <c r="W51" s="53"/>
    </row>
    <row r="52" spans="1:23" x14ac:dyDescent="0.2">
      <c r="A52" s="53"/>
      <c r="B52" s="53"/>
      <c r="C52" t="str">
        <f>'[2]Front Page'!C13</f>
        <v xml:space="preserve"> - 1 Mcf is equivalent to 1 mmbtu</v>
      </c>
      <c r="D52" s="65"/>
      <c r="E52" s="3"/>
      <c r="F52" s="53"/>
      <c r="G52" s="53"/>
      <c r="H52" s="53"/>
      <c r="I52" s="5"/>
      <c r="J52" s="5"/>
      <c r="K52" s="5"/>
      <c r="L52" s="53"/>
      <c r="M52" s="53"/>
      <c r="N52" s="53"/>
      <c r="O52" s="53"/>
      <c r="P52" s="53"/>
      <c r="Q52" s="53"/>
      <c r="R52" s="53"/>
      <c r="S52" s="53"/>
      <c r="T52" s="53"/>
      <c r="U52" s="53"/>
      <c r="V52" s="53"/>
      <c r="W52" s="53"/>
    </row>
    <row r="53" spans="1:23" x14ac:dyDescent="0.2">
      <c r="A53" s="53"/>
      <c r="B53" s="53"/>
      <c r="C53" t="str">
        <f>'[2]Front Page'!C14</f>
        <v xml:space="preserve"> - Real prices listed in 2016 dollars with no escalation considered</v>
      </c>
      <c r="D53" s="65"/>
      <c r="E53" s="3"/>
      <c r="F53" s="53"/>
      <c r="G53" s="53"/>
      <c r="H53" s="53"/>
      <c r="I53" s="5"/>
      <c r="J53" s="5"/>
      <c r="K53" s="5"/>
      <c r="L53" s="53"/>
      <c r="M53" s="53"/>
      <c r="N53" s="53"/>
      <c r="O53" s="53"/>
      <c r="P53" s="53"/>
      <c r="Q53" s="53"/>
      <c r="R53" s="53"/>
      <c r="S53" s="53"/>
      <c r="T53" s="53"/>
      <c r="U53" s="53"/>
      <c r="V53" s="53"/>
      <c r="W53" s="53"/>
    </row>
    <row r="54" spans="1:23" x14ac:dyDescent="0.2">
      <c r="A54" s="53"/>
      <c r="B54" s="53"/>
      <c r="C54" t="str">
        <f>'[2]Front Page'!C15</f>
        <v xml:space="preserve"> - Alberta gas prices, except AECO, include an average cost of service to the plant gate</v>
      </c>
      <c r="D54" s="65"/>
      <c r="E54" s="3"/>
      <c r="F54" s="53"/>
      <c r="G54" s="53"/>
      <c r="H54" s="53"/>
      <c r="I54" s="5"/>
      <c r="J54" s="5"/>
      <c r="K54" s="5"/>
      <c r="L54" s="53"/>
      <c r="M54" s="53"/>
      <c r="N54" s="53"/>
      <c r="O54" s="53"/>
      <c r="P54" s="53"/>
      <c r="Q54" s="53"/>
      <c r="R54" s="53"/>
      <c r="S54" s="53"/>
      <c r="T54" s="12"/>
      <c r="U54" s="53"/>
      <c r="V54" s="53"/>
      <c r="W54" s="53"/>
    </row>
    <row r="55" spans="1:23" x14ac:dyDescent="0.2">
      <c r="A55" s="53"/>
      <c r="B55" s="66"/>
      <c r="C55" t="s">
        <v>65</v>
      </c>
      <c r="D55" s="65"/>
      <c r="E55" s="3"/>
      <c r="F55" s="53"/>
      <c r="G55" s="53"/>
      <c r="H55" s="53"/>
      <c r="I55" s="5"/>
      <c r="J55" s="5"/>
      <c r="K55" s="5"/>
      <c r="L55" s="53"/>
      <c r="M55" s="53"/>
      <c r="N55" s="53"/>
      <c r="O55" s="53"/>
      <c r="P55" s="53"/>
      <c r="Q55" s="53"/>
      <c r="R55" s="53"/>
      <c r="S55" s="53"/>
      <c r="T55" s="53"/>
      <c r="U55" s="53"/>
      <c r="V55" s="53"/>
      <c r="W55" s="53"/>
    </row>
    <row r="56" spans="1:23" x14ac:dyDescent="0.2">
      <c r="A56" s="53"/>
      <c r="B56" s="53"/>
      <c r="C56" s="65"/>
      <c r="D56" s="65"/>
      <c r="E56" s="3"/>
      <c r="F56" s="53"/>
      <c r="G56" s="53"/>
      <c r="H56" s="53"/>
      <c r="I56" s="5"/>
      <c r="J56" s="5"/>
      <c r="K56" s="5"/>
      <c r="L56" s="53"/>
      <c r="M56" s="53"/>
      <c r="N56" s="53"/>
      <c r="O56" s="53"/>
      <c r="P56" s="53"/>
      <c r="Q56" s="53"/>
      <c r="R56" s="53"/>
      <c r="S56" s="53"/>
      <c r="T56" s="53"/>
      <c r="U56" s="53"/>
      <c r="V56" s="53"/>
      <c r="W56" s="53"/>
    </row>
    <row r="57" spans="1:23" ht="12.75" customHeight="1" x14ac:dyDescent="0.2">
      <c r="A57" s="53"/>
      <c r="B57" s="116" t="s">
        <v>66</v>
      </c>
      <c r="C57" s="116"/>
      <c r="D57" s="116"/>
      <c r="E57" s="116"/>
      <c r="F57" s="116"/>
      <c r="G57" s="116"/>
      <c r="H57" s="116"/>
      <c r="I57" s="116"/>
      <c r="J57" s="116"/>
      <c r="K57" s="116"/>
      <c r="L57" s="116"/>
      <c r="M57" s="116"/>
      <c r="N57" s="116"/>
      <c r="O57" s="116"/>
      <c r="P57" s="116"/>
      <c r="Q57" s="116"/>
      <c r="R57" s="116"/>
      <c r="S57" s="116"/>
      <c r="T57" s="116"/>
      <c r="U57" s="116"/>
      <c r="V57" s="116"/>
      <c r="W57" s="116"/>
    </row>
    <row r="58" spans="1:23" x14ac:dyDescent="0.2">
      <c r="A58" s="53"/>
      <c r="B58" s="116"/>
      <c r="C58" s="116"/>
      <c r="D58" s="116"/>
      <c r="E58" s="116"/>
      <c r="F58" s="116"/>
      <c r="G58" s="116"/>
      <c r="H58" s="116"/>
      <c r="I58" s="116"/>
      <c r="J58" s="116"/>
      <c r="K58" s="116"/>
      <c r="L58" s="116"/>
      <c r="M58" s="116"/>
      <c r="N58" s="116"/>
      <c r="O58" s="116"/>
      <c r="P58" s="116"/>
      <c r="Q58" s="116"/>
      <c r="R58" s="116"/>
      <c r="S58" s="116"/>
      <c r="T58" s="116"/>
      <c r="U58" s="116"/>
      <c r="V58" s="116"/>
      <c r="W58" s="116"/>
    </row>
    <row r="59" spans="1:23" x14ac:dyDescent="0.2">
      <c r="A59" s="53"/>
      <c r="B59" s="116"/>
      <c r="C59" s="116"/>
      <c r="D59" s="116"/>
      <c r="E59" s="116"/>
      <c r="F59" s="116"/>
      <c r="G59" s="116"/>
      <c r="H59" s="116"/>
      <c r="I59" s="116"/>
      <c r="J59" s="116"/>
      <c r="K59" s="116"/>
      <c r="L59" s="116"/>
      <c r="M59" s="116"/>
      <c r="N59" s="116"/>
      <c r="O59" s="116"/>
      <c r="P59" s="116"/>
      <c r="Q59" s="116"/>
      <c r="R59" s="116"/>
      <c r="S59" s="116"/>
      <c r="T59" s="116"/>
      <c r="U59" s="116"/>
      <c r="V59" s="116"/>
      <c r="W59" s="116"/>
    </row>
    <row r="60" spans="1:23" x14ac:dyDescent="0.2">
      <c r="A60" s="53"/>
      <c r="B60" s="116"/>
      <c r="C60" s="116"/>
      <c r="D60" s="116"/>
      <c r="E60" s="116"/>
      <c r="F60" s="116"/>
      <c r="G60" s="116"/>
      <c r="H60" s="116"/>
      <c r="I60" s="116"/>
      <c r="J60" s="116"/>
      <c r="K60" s="116"/>
      <c r="L60" s="116"/>
      <c r="M60" s="116"/>
      <c r="N60" s="116"/>
      <c r="O60" s="116"/>
      <c r="P60" s="116"/>
      <c r="Q60" s="116"/>
      <c r="R60" s="116"/>
      <c r="S60" s="116"/>
      <c r="T60" s="116"/>
      <c r="U60" s="116"/>
      <c r="V60" s="116"/>
      <c r="W60" s="116"/>
    </row>
  </sheetData>
  <mergeCells count="8">
    <mergeCell ref="M6:P6"/>
    <mergeCell ref="B57:W60"/>
    <mergeCell ref="A1:W1"/>
    <mergeCell ref="A2:W2"/>
    <mergeCell ref="A3:W3"/>
    <mergeCell ref="F5:L5"/>
    <mergeCell ref="M5:P5"/>
    <mergeCell ref="Q5:V5"/>
  </mergeCells>
  <pageMargins left="0.7" right="0.7" top="0.75" bottom="0.75" header="0.3" footer="0.3"/>
  <pageSetup scale="5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400"/>
    <pageSetUpPr fitToPage="1"/>
  </sheetPr>
  <dimension ref="A1:Q60"/>
  <sheetViews>
    <sheetView zoomScale="85" zoomScaleNormal="85" workbookViewId="0">
      <selection activeCell="C56" sqref="C56"/>
    </sheetView>
  </sheetViews>
  <sheetFormatPr defaultColWidth="9.140625" defaultRowHeight="12.75" x14ac:dyDescent="0.2"/>
  <cols>
    <col min="1" max="1" width="3.5703125" customWidth="1"/>
    <col min="2" max="2" width="10" bestFit="1" customWidth="1"/>
    <col min="3" max="3" width="8.42578125" customWidth="1"/>
    <col min="4" max="4" width="8.42578125" bestFit="1" customWidth="1"/>
    <col min="5" max="5" width="11.5703125" bestFit="1" customWidth="1"/>
    <col min="6" max="7" width="10.28515625" bestFit="1" customWidth="1"/>
    <col min="8" max="8" width="10.140625" bestFit="1" customWidth="1"/>
    <col min="9" max="9" width="10.140625" customWidth="1"/>
    <col min="10" max="10" width="13.140625" bestFit="1" customWidth="1"/>
    <col min="11" max="12" width="11.42578125" bestFit="1" customWidth="1"/>
    <col min="13" max="13" width="13.140625" bestFit="1" customWidth="1"/>
    <col min="14" max="14" width="11.42578125" bestFit="1" customWidth="1"/>
    <col min="15" max="15" width="12.85546875" bestFit="1" customWidth="1"/>
    <col min="16" max="16" width="11.7109375" bestFit="1" customWidth="1"/>
    <col min="17" max="17" width="11.5703125" bestFit="1" customWidth="1"/>
  </cols>
  <sheetData>
    <row r="1" spans="1:17" x14ac:dyDescent="0.2">
      <c r="A1" s="117" t="s">
        <v>0</v>
      </c>
      <c r="B1" s="117"/>
      <c r="C1" s="117"/>
      <c r="D1" s="117"/>
      <c r="E1" s="117"/>
      <c r="F1" s="117"/>
      <c r="G1" s="117"/>
      <c r="H1" s="117"/>
      <c r="I1" s="117"/>
      <c r="J1" s="117"/>
      <c r="K1" s="117"/>
      <c r="L1" s="117"/>
      <c r="M1" s="117"/>
      <c r="N1" s="117"/>
      <c r="O1" s="117"/>
      <c r="P1" s="117"/>
      <c r="Q1" s="117"/>
    </row>
    <row r="2" spans="1:17" x14ac:dyDescent="0.2">
      <c r="A2" s="117" t="s">
        <v>67</v>
      </c>
      <c r="B2" s="117"/>
      <c r="C2" s="117"/>
      <c r="D2" s="117"/>
      <c r="E2" s="117"/>
      <c r="F2" s="117"/>
      <c r="G2" s="117"/>
      <c r="H2" s="117"/>
      <c r="I2" s="117"/>
      <c r="J2" s="117"/>
      <c r="K2" s="117"/>
      <c r="L2" s="117"/>
      <c r="M2" s="117"/>
      <c r="N2" s="117"/>
      <c r="O2" s="117"/>
      <c r="P2" s="117"/>
      <c r="Q2" s="117"/>
    </row>
    <row r="3" spans="1:17" x14ac:dyDescent="0.2">
      <c r="A3" s="117" t="str">
        <f>"Base Case Forecast Effective " &amp; TEXT(EFFDATE,"MMMM DD YYYY")</f>
        <v>Base Case Forecast Effective December 31 2016</v>
      </c>
      <c r="B3" s="117"/>
      <c r="C3" s="117"/>
      <c r="D3" s="117"/>
      <c r="E3" s="117"/>
      <c r="F3" s="117"/>
      <c r="G3" s="117"/>
      <c r="H3" s="117"/>
      <c r="I3" s="117"/>
      <c r="J3" s="117"/>
      <c r="K3" s="117"/>
      <c r="L3" s="117"/>
      <c r="M3" s="117"/>
      <c r="N3" s="117"/>
      <c r="O3" s="117"/>
      <c r="P3" s="117"/>
      <c r="Q3" s="117"/>
    </row>
    <row r="4" spans="1:17" s="4" customFormat="1" x14ac:dyDescent="0.2">
      <c r="A4" s="1"/>
      <c r="B4" s="1"/>
      <c r="C4" s="2"/>
      <c r="D4" s="2"/>
      <c r="E4" s="3"/>
      <c r="G4" s="1"/>
      <c r="H4" s="1"/>
      <c r="I4" s="5"/>
      <c r="J4" s="5"/>
      <c r="K4" s="5"/>
      <c r="L4" s="5"/>
      <c r="M4" s="5"/>
      <c r="N4" s="5"/>
      <c r="O4" s="5"/>
      <c r="P4" s="5"/>
      <c r="Q4" s="1"/>
    </row>
    <row r="5" spans="1:17" x14ac:dyDescent="0.2">
      <c r="A5" s="6"/>
      <c r="B5" s="7" t="s">
        <v>2</v>
      </c>
      <c r="C5" s="8"/>
      <c r="D5" s="8"/>
      <c r="E5" s="9"/>
      <c r="F5" s="67" t="s">
        <v>3</v>
      </c>
      <c r="G5" s="68"/>
      <c r="H5" s="68"/>
      <c r="I5" s="68"/>
      <c r="J5" s="68"/>
      <c r="K5" s="68"/>
      <c r="L5" s="68"/>
      <c r="M5" s="68"/>
      <c r="N5" s="68"/>
      <c r="O5" s="68"/>
      <c r="P5" s="69"/>
      <c r="Q5" s="10" t="s">
        <v>68</v>
      </c>
    </row>
    <row r="6" spans="1:17" x14ac:dyDescent="0.2">
      <c r="A6" s="11"/>
      <c r="B6" s="12"/>
      <c r="C6" s="13"/>
      <c r="D6" s="13"/>
      <c r="E6" s="14"/>
      <c r="F6" s="15"/>
      <c r="G6" s="16"/>
      <c r="H6" s="16"/>
      <c r="I6" s="17"/>
      <c r="J6" s="16"/>
      <c r="K6" s="16"/>
      <c r="L6" s="16"/>
      <c r="M6" s="70"/>
      <c r="N6" s="70"/>
      <c r="P6" s="71"/>
      <c r="Q6" s="18"/>
    </row>
    <row r="7" spans="1:17" x14ac:dyDescent="0.2">
      <c r="A7" s="11"/>
      <c r="B7" s="12"/>
      <c r="C7" s="13" t="s">
        <v>2</v>
      </c>
      <c r="D7" s="13"/>
      <c r="E7" s="14"/>
      <c r="F7" s="15"/>
      <c r="G7" s="16"/>
      <c r="H7" s="16"/>
      <c r="I7" s="17"/>
      <c r="J7" s="16"/>
      <c r="K7" s="16"/>
      <c r="L7" s="16"/>
      <c r="M7" s="16"/>
      <c r="N7" s="16"/>
      <c r="O7" s="16" t="s">
        <v>69</v>
      </c>
      <c r="P7" s="18"/>
      <c r="Q7" s="18" t="s">
        <v>70</v>
      </c>
    </row>
    <row r="8" spans="1:17" x14ac:dyDescent="0.2">
      <c r="A8" s="11"/>
      <c r="B8" s="12"/>
      <c r="C8" s="13"/>
      <c r="D8" s="13"/>
      <c r="E8" s="18"/>
      <c r="F8" s="15" t="s">
        <v>10</v>
      </c>
      <c r="G8" s="16" t="s">
        <v>10</v>
      </c>
      <c r="H8" s="16"/>
      <c r="I8" s="19"/>
      <c r="J8" s="22" t="s">
        <v>71</v>
      </c>
      <c r="K8" s="22" t="s">
        <v>72</v>
      </c>
      <c r="L8" s="16" t="s">
        <v>12</v>
      </c>
      <c r="M8" s="16" t="s">
        <v>11</v>
      </c>
      <c r="N8" s="16" t="s">
        <v>13</v>
      </c>
      <c r="O8" s="22" t="s">
        <v>73</v>
      </c>
      <c r="P8" s="18" t="s">
        <v>74</v>
      </c>
      <c r="Q8" s="18" t="s">
        <v>75</v>
      </c>
    </row>
    <row r="9" spans="1:17" x14ac:dyDescent="0.2">
      <c r="A9" s="11"/>
      <c r="B9" s="12"/>
      <c r="C9" s="16"/>
      <c r="D9" s="16"/>
      <c r="E9" s="18"/>
      <c r="F9" s="15" t="s">
        <v>18</v>
      </c>
      <c r="G9" s="16" t="s">
        <v>18</v>
      </c>
      <c r="H9" s="16" t="s">
        <v>19</v>
      </c>
      <c r="I9" s="19" t="s">
        <v>19</v>
      </c>
      <c r="J9" s="22" t="s">
        <v>76</v>
      </c>
      <c r="K9" s="22" t="s">
        <v>77</v>
      </c>
      <c r="L9" s="16" t="s">
        <v>21</v>
      </c>
      <c r="M9" s="16" t="s">
        <v>20</v>
      </c>
      <c r="N9" s="16" t="s">
        <v>22</v>
      </c>
      <c r="O9" s="22" t="s">
        <v>78</v>
      </c>
      <c r="P9" s="18" t="s">
        <v>79</v>
      </c>
      <c r="Q9" s="18" t="s">
        <v>14</v>
      </c>
    </row>
    <row r="10" spans="1:17" x14ac:dyDescent="0.2">
      <c r="A10" s="11"/>
      <c r="B10" s="16"/>
      <c r="C10" s="16" t="s">
        <v>27</v>
      </c>
      <c r="D10" s="16" t="s">
        <v>28</v>
      </c>
      <c r="E10" s="18" t="s">
        <v>29</v>
      </c>
      <c r="F10" s="15" t="s">
        <v>30</v>
      </c>
      <c r="G10" s="16" t="s">
        <v>30</v>
      </c>
      <c r="H10" s="16" t="s">
        <v>31</v>
      </c>
      <c r="I10" s="16" t="s">
        <v>31</v>
      </c>
      <c r="J10" s="22" t="s">
        <v>80</v>
      </c>
      <c r="K10" s="22" t="s">
        <v>32</v>
      </c>
      <c r="L10" s="16" t="s">
        <v>32</v>
      </c>
      <c r="M10" s="16" t="s">
        <v>32</v>
      </c>
      <c r="N10" s="16" t="s">
        <v>32</v>
      </c>
      <c r="O10" s="22" t="s">
        <v>81</v>
      </c>
      <c r="P10" s="18" t="s">
        <v>82</v>
      </c>
      <c r="Q10" s="18" t="s">
        <v>83</v>
      </c>
    </row>
    <row r="11" spans="1:17" x14ac:dyDescent="0.2">
      <c r="A11" s="11"/>
      <c r="B11" s="12"/>
      <c r="C11" s="16" t="s">
        <v>40</v>
      </c>
      <c r="D11" s="16" t="s">
        <v>40</v>
      </c>
      <c r="E11" s="18" t="s">
        <v>41</v>
      </c>
      <c r="F11" s="15" t="s">
        <v>42</v>
      </c>
      <c r="G11" s="16" t="s">
        <v>42</v>
      </c>
      <c r="H11" s="16" t="s">
        <v>43</v>
      </c>
      <c r="I11" s="19" t="s">
        <v>43</v>
      </c>
      <c r="J11" s="22" t="s">
        <v>44</v>
      </c>
      <c r="K11" s="22" t="s">
        <v>44</v>
      </c>
      <c r="L11" s="16" t="s">
        <v>43</v>
      </c>
      <c r="M11" s="16" t="s">
        <v>43</v>
      </c>
      <c r="N11" s="16" t="s">
        <v>44</v>
      </c>
      <c r="O11" s="22" t="s">
        <v>44</v>
      </c>
      <c r="P11" s="18" t="s">
        <v>44</v>
      </c>
      <c r="Q11" s="18" t="s">
        <v>45</v>
      </c>
    </row>
    <row r="12" spans="1:17" x14ac:dyDescent="0.2">
      <c r="A12" s="23"/>
      <c r="B12" s="24"/>
      <c r="C12" s="25" t="s">
        <v>48</v>
      </c>
      <c r="D12" s="25" t="s">
        <v>48</v>
      </c>
      <c r="E12" s="26" t="s">
        <v>48</v>
      </c>
      <c r="F12" s="27" t="s">
        <v>49</v>
      </c>
      <c r="G12" s="28" t="s">
        <v>50</v>
      </c>
      <c r="H12" s="28" t="s">
        <v>49</v>
      </c>
      <c r="I12" s="29" t="s">
        <v>50</v>
      </c>
      <c r="J12" s="29" t="s">
        <v>50</v>
      </c>
      <c r="K12" s="29" t="s">
        <v>50</v>
      </c>
      <c r="L12" s="29" t="s">
        <v>50</v>
      </c>
      <c r="M12" s="29" t="s">
        <v>50</v>
      </c>
      <c r="N12" s="28" t="s">
        <v>50</v>
      </c>
      <c r="O12" s="28" t="s">
        <v>50</v>
      </c>
      <c r="P12" s="30" t="s">
        <v>50</v>
      </c>
      <c r="Q12" s="30" t="s">
        <v>50</v>
      </c>
    </row>
    <row r="13" spans="1:17" x14ac:dyDescent="0.2">
      <c r="A13" s="15" t="s">
        <v>51</v>
      </c>
      <c r="B13" s="16">
        <f>YEAR(EFFDATE)-10</f>
        <v>2006</v>
      </c>
      <c r="C13" s="13">
        <f>HLOOKUP("Price Inflation",'[2]Historical Yearly Input'!$2:$14,MATCH($B13,'[2]Historical Yearly Input'!$B$2:$B$14,0),FALSE)</f>
        <v>1.7000000000000001E-2</v>
      </c>
      <c r="D13" s="13">
        <f>HLOOKUP("Price Inflation",'[2]Historical Yearly Input'!$2:$14,MATCH($B13,'[2]Historical Yearly Input'!$B$2:$B$14,0),FALSE)</f>
        <v>1.7000000000000001E-2</v>
      </c>
      <c r="E13" s="31">
        <f>HLOOKUP("Canadian Dollar",'[2]Historical Yearly Input'!$2:$14,MATCH($B13,'[2]Historical Yearly Input'!$B$2:$B$14,0),FALSE)</f>
        <v>0.86699999999999999</v>
      </c>
      <c r="F13" s="32">
        <f>G13/((1-$C13)*(1-$C14)*(1-$C15)*(1-$C16)*(1-$C17)*(1-$C18)*(1-$C19)*(1-$C20)*(1-$C21)*(1-$C22))</f>
        <v>73.337720242410242</v>
      </c>
      <c r="G13" s="17">
        <f>HLOOKUP("WTI",'[2]Historical Yearly Input'!$2:$14,MATCH($B13,'[2]Historical Yearly Input'!$B$2:$B$14,0),FALSE)</f>
        <v>61.96</v>
      </c>
      <c r="H13" s="33">
        <f>I13/((1-$C13)*(1-$C14)*(1-$C15)*(1-$C16)*(1-$C17)*(1-$C18)*(1-$C19)*(1-$C20)*(1-$C21)*(1-$C22))</f>
        <v>81.185187724772732</v>
      </c>
      <c r="I13" s="17">
        <f>HLOOKUP("Edmonton Light",'[2]Historical Yearly Input'!$2:$14,MATCH($B13,'[2]Historical Yearly Input'!$B$2:$B$14,0),FALSE)</f>
        <v>68.59</v>
      </c>
      <c r="J13" s="17">
        <f>HLOOKUP("Cromer Light",'[2]Historical Yearly Input'!$2:$14,MATCH($B13,'[2]Historical Yearly Input'!$B$2:$B$14,0),FALSE)</f>
        <v>61.51</v>
      </c>
      <c r="K13" s="17">
        <f>HLOOKUP("Hardisty MSO",'[2]Historical Yearly Input'!$2:$14,MATCH($B13,'[2]Historical Yearly Input'!$B$2:$B$14,0),FALSE)</f>
        <v>60.64</v>
      </c>
      <c r="L13" s="17">
        <f>HLOOKUP("Hardisty Bow River",'[2]Historical Yearly Input'!$2:$14,MATCH($B13,'[2]Historical Yearly Input'!$B$2:$B$14,0),FALSE)</f>
        <v>51.71</v>
      </c>
      <c r="M13" s="17">
        <f>HLOOKUP("Hardisty WCS",'[2]Historical Yearly Input'!$2:$14,MATCH($B13,'[2]Historical Yearly Input'!$B$2:$B$14,0),FALSE)</f>
        <v>50.61</v>
      </c>
      <c r="N13" s="17">
        <f>HLOOKUP("Hardisty Heavy",'[2]Historical Yearly Input'!$2:$14,MATCH($B13,'[2]Historical Yearly Input'!$B$2:$B$14,0),FALSE)</f>
        <v>37.1</v>
      </c>
      <c r="O13" s="17">
        <f>HLOOKUP("Synbit AWB",'[2]Historical Yearly Input'!$2:$14,MATCH($B13,'[2]Historical Yearly Input'!$B$2:$B$14,0),FALSE)</f>
        <v>48.758171374905253</v>
      </c>
      <c r="P13" s="36">
        <f>HLOOKUP("Sarnia Refinery",'[2]Historical Yearly Input'!$2:$14,MATCH($B13,'[2]Historical Yearly Input'!$B$2:$B$14,0),FALSE)</f>
        <v>70.599769319492509</v>
      </c>
      <c r="Q13" s="38">
        <f>HLOOKUP("Ontario Dawn",'[2]Historical Yearly Input'!$2:$14,MATCH($B13,'[2]Historical Yearly Input'!$B$2:$B$14,0),FALSE)</f>
        <v>9.0399999999999991</v>
      </c>
    </row>
    <row r="14" spans="1:17" x14ac:dyDescent="0.2">
      <c r="A14" s="15" t="s">
        <v>52</v>
      </c>
      <c r="B14" s="16">
        <f>B13+1</f>
        <v>2007</v>
      </c>
      <c r="C14" s="13">
        <f>HLOOKUP("Price Inflation",'[2]Historical Yearly Input'!$2:$14,MATCH($B14,'[2]Historical Yearly Input'!$B$2:$B$14,0),FALSE)</f>
        <v>2.1416666666666664E-2</v>
      </c>
      <c r="D14" s="13">
        <f>HLOOKUP("Price Inflation",'[2]Historical Yearly Input'!$2:$14,MATCH($B14,'[2]Historical Yearly Input'!$B$2:$B$14,0),FALSE)</f>
        <v>2.1416666666666664E-2</v>
      </c>
      <c r="E14" s="39">
        <f>HLOOKUP("Canadian Dollar",'[2]Historical Yearly Input'!$2:$14,MATCH($B14,'[2]Historical Yearly Input'!$B$2:$B$14,0),FALSE)</f>
        <v>0.93516666666666681</v>
      </c>
      <c r="F14" s="32">
        <f>G14/((1-$C14)*(1-$C15)*(1-$C16)*(1-$C17)*(1-$C18)*(1-$C19)*(1-$C20)*(1-$C21)*(1-$C22))</f>
        <v>84.141047415961111</v>
      </c>
      <c r="G14" s="17">
        <f>HLOOKUP("WTI",'[2]Historical Yearly Input'!$2:$14,MATCH($B14,'[2]Historical Yearly Input'!$B$2:$B$14,0),FALSE)</f>
        <v>72.316666666666663</v>
      </c>
      <c r="H14" s="17">
        <f>I14/((1-$C14)*(1-$C15)*(1-$C16)*(1-$C17)*(1-$C18)*(1-$C19)*(1-$C20)*(1-$C21)*(1-$C22))</f>
        <v>89.649289987637474</v>
      </c>
      <c r="I14" s="17">
        <f>HLOOKUP("Edmonton Light",'[2]Historical Yearly Input'!$2:$14,MATCH($B14,'[2]Historical Yearly Input'!$B$2:$B$14,0),FALSE)</f>
        <v>77.05083333333333</v>
      </c>
      <c r="J14" s="17">
        <f>HLOOKUP("Cromer Light",'[2]Historical Yearly Input'!$2:$14,MATCH($B14,'[2]Historical Yearly Input'!$B$2:$B$14,0),FALSE)</f>
        <v>70.056666666666658</v>
      </c>
      <c r="K14" s="17">
        <f>HLOOKUP("Hardisty MSO",'[2]Historical Yearly Input'!$2:$14,MATCH($B14,'[2]Historical Yearly Input'!$B$2:$B$14,0),FALSE)</f>
        <v>64.87166666666667</v>
      </c>
      <c r="L14" s="17">
        <f>HLOOKUP("Hardisty Bow River",'[2]Historical Yearly Input'!$2:$14,MATCH($B14,'[2]Historical Yearly Input'!$B$2:$B$14,0),FALSE)</f>
        <v>53.87166666666667</v>
      </c>
      <c r="M14" s="17">
        <f>HLOOKUP("Hardisty WCS",'[2]Historical Yearly Input'!$2:$14,MATCH($B14,'[2]Historical Yearly Input'!$B$2:$B$14,0),FALSE)</f>
        <v>52.903333333333343</v>
      </c>
      <c r="N14" s="17">
        <f>HLOOKUP("Hardisty Heavy",'[2]Historical Yearly Input'!$2:$14,MATCH($B14,'[2]Historical Yearly Input'!$B$2:$B$14,0),FALSE)</f>
        <v>39.763333333333328</v>
      </c>
      <c r="O14" s="17">
        <f>HLOOKUP("Synbit AWB",'[2]Historical Yearly Input'!$2:$14,MATCH($B14,'[2]Historical Yearly Input'!$B$2:$B$14,0),FALSE)</f>
        <v>52.315651078654632</v>
      </c>
      <c r="P14" s="36">
        <f>HLOOKUP("Sarnia Refinery",'[2]Historical Yearly Input'!$2:$14,MATCH($B14,'[2]Historical Yearly Input'!$B$2:$B$14,0),FALSE)</f>
        <v>78.477645423235288</v>
      </c>
      <c r="Q14" s="38">
        <f>HLOOKUP("Ontario Dawn",'[2]Historical Yearly Input'!$2:$14,MATCH($B14,'[2]Historical Yearly Input'!$B$2:$B$14,0),FALSE)</f>
        <v>7.432500000000001</v>
      </c>
    </row>
    <row r="15" spans="1:17" x14ac:dyDescent="0.2">
      <c r="A15" s="15" t="s">
        <v>53</v>
      </c>
      <c r="B15" s="16">
        <f t="shared" ref="B15:B22" si="0">B14+1</f>
        <v>2008</v>
      </c>
      <c r="C15" s="13">
        <f>HLOOKUP("Price Inflation",'[2]Historical Yearly Input'!$2:$14,MATCH($B15,'[2]Historical Yearly Input'!$B$2:$B$14,0),FALSE)</f>
        <v>2.3750000000000004E-2</v>
      </c>
      <c r="D15" s="13">
        <f>HLOOKUP("Price Inflation",'[2]Historical Yearly Input'!$2:$14,MATCH($B15,'[2]Historical Yearly Input'!$B$2:$B$14,0),FALSE)</f>
        <v>2.3750000000000004E-2</v>
      </c>
      <c r="E15" s="31">
        <f>HLOOKUP("Canadian Dollar",'[2]Historical Yearly Input'!$2:$14,MATCH($B15,'[2]Historical Yearly Input'!$B$2:$B$14,0),FALSE)</f>
        <v>0.9428333333333333</v>
      </c>
      <c r="F15" s="32">
        <f>G15/((1-$C15)*(1-$C16)*(1-$C17)*(1-$C18)*(1-$C19)*(1-$C20)*(1-$C21)*(1-$C22))</f>
        <v>113.37129451899024</v>
      </c>
      <c r="G15" s="17">
        <f>HLOOKUP("WTI",'[2]Historical Yearly Input'!$2:$14,MATCH($B15,'[2]Historical Yearly Input'!$B$2:$B$14,0),FALSE)</f>
        <v>99.571666666666644</v>
      </c>
      <c r="H15" s="17">
        <f>I15/((1-$C15)*(1-$C16)*(1-$C17)*(1-$C18)*(1-$C19)*(1-$C20)*(1-$C21)*(1-$C22))</f>
        <v>117.04324696353183</v>
      </c>
      <c r="I15" s="17">
        <f>HLOOKUP("Edmonton Light",'[2]Historical Yearly Input'!$2:$14,MATCH($B15,'[2]Historical Yearly Input'!$B$2:$B$14,0),FALSE)</f>
        <v>102.79666666666668</v>
      </c>
      <c r="J15" s="17">
        <f>HLOOKUP("Cromer Light",'[2]Historical Yearly Input'!$2:$14,MATCH($B15,'[2]Historical Yearly Input'!$B$2:$B$14,0),FALSE)</f>
        <v>95.277499999999989</v>
      </c>
      <c r="K15" s="17">
        <f>HLOOKUP("Hardisty MSO",'[2]Historical Yearly Input'!$2:$14,MATCH($B15,'[2]Historical Yearly Input'!$B$2:$B$14,0),FALSE)</f>
        <v>92.398333333333326</v>
      </c>
      <c r="L15" s="17">
        <f>HLOOKUP("Hardisty Bow River",'[2]Historical Yearly Input'!$2:$14,MATCH($B15,'[2]Historical Yearly Input'!$B$2:$B$14,0),FALSE)</f>
        <v>83.901666666666671</v>
      </c>
      <c r="M15" s="17">
        <f>HLOOKUP("Hardisty WCS",'[2]Historical Yearly Input'!$2:$14,MATCH($B15,'[2]Historical Yearly Input'!$B$2:$B$14,0),FALSE)</f>
        <v>82.94583333333334</v>
      </c>
      <c r="N15" s="17">
        <f>HLOOKUP("Hardisty Heavy",'[2]Historical Yearly Input'!$2:$14,MATCH($B15,'[2]Historical Yearly Input'!$B$2:$B$14,0),FALSE)</f>
        <v>73.075833333333307</v>
      </c>
      <c r="O15" s="17">
        <f>HLOOKUP("Synbit AWB",'[2]Historical Yearly Input'!$2:$14,MATCH($B15,'[2]Historical Yearly Input'!$B$2:$B$14,0),FALSE)</f>
        <v>84.08408302028063</v>
      </c>
      <c r="P15" s="36">
        <f>HLOOKUP("Sarnia Refinery",'[2]Historical Yearly Input'!$2:$14,MATCH($B15,'[2]Historical Yearly Input'!$B$2:$B$14,0),FALSE)</f>
        <v>109.20650547726895</v>
      </c>
      <c r="Q15" s="40">
        <f>HLOOKUP("Ontario Dawn",'[2]Historical Yearly Input'!$2:$14,MATCH($B15,'[2]Historical Yearly Input'!$B$2:$B$14,0),FALSE)</f>
        <v>9.8825833333333346</v>
      </c>
    </row>
    <row r="16" spans="1:17" x14ac:dyDescent="0.2">
      <c r="A16" s="15" t="s">
        <v>54</v>
      </c>
      <c r="B16" s="16">
        <f t="shared" si="0"/>
        <v>2009</v>
      </c>
      <c r="C16" s="13">
        <f>HLOOKUP("Price Inflation",'[2]Historical Yearly Input'!$2:$14,MATCH($B16,'[2]Historical Yearly Input'!$B$2:$B$14,0),FALSE)</f>
        <v>3.0833333333333338E-3</v>
      </c>
      <c r="D16" s="13">
        <f>HLOOKUP("Price Inflation",'[2]Historical Yearly Input'!$2:$14,MATCH($B16,'[2]Historical Yearly Input'!$B$2:$B$14,0),FALSE)</f>
        <v>3.0833333333333338E-3</v>
      </c>
      <c r="E16" s="31">
        <f>HLOOKUP("Canadian Dollar",'[2]Historical Yearly Input'!$2:$14,MATCH($B16,'[2]Historical Yearly Input'!$B$2:$B$14,0),FALSE)</f>
        <v>0.87974999999999992</v>
      </c>
      <c r="F16" s="32">
        <f>G16/((1-$C16)*(1-$C17)*(1-$C18)*(1-$C19)*(1-$C20)*(1-$C21)*(1-$C22))</f>
        <v>68.531590005473788</v>
      </c>
      <c r="G16" s="17">
        <f>HLOOKUP("WTI",'[2]Historical Yearly Input'!$2:$14,MATCH($B16,'[2]Historical Yearly Input'!$B$2:$B$14,0),FALSE)</f>
        <v>61.654166666666676</v>
      </c>
      <c r="H16" s="17">
        <f>I16/((1-$C16)*(1-$C17)*(1-$C18)*(1-$C19)*(1-$C20)*(1-$C21)*(1-$C22))</f>
        <v>73.46871746008182</v>
      </c>
      <c r="I16" s="17">
        <f>HLOOKUP("Edmonton Light",'[2]Historical Yearly Input'!$2:$14,MATCH($B16,'[2]Historical Yearly Input'!$B$2:$B$14,0),FALSE)</f>
        <v>66.095833333333346</v>
      </c>
      <c r="J16" s="17">
        <f>HLOOKUP("Cromer Light",'[2]Historical Yearly Input'!$2:$14,MATCH($B16,'[2]Historical Yearly Input'!$B$2:$B$14,0),FALSE)</f>
        <v>64.042500000000004</v>
      </c>
      <c r="K16" s="17">
        <f>HLOOKUP("Hardisty MSO",'[2]Historical Yearly Input'!$2:$14,MATCH($B16,'[2]Historical Yearly Input'!$B$2:$B$14,0),FALSE)</f>
        <v>63.7575</v>
      </c>
      <c r="L16" s="17">
        <f>HLOOKUP("Hardisty Bow River",'[2]Historical Yearly Input'!$2:$14,MATCH($B16,'[2]Historical Yearly Input'!$B$2:$B$14,0),FALSE)</f>
        <v>59.797499999999992</v>
      </c>
      <c r="M16" s="17">
        <f>HLOOKUP("Hardisty WCS",'[2]Historical Yearly Input'!$2:$14,MATCH($B16,'[2]Historical Yearly Input'!$B$2:$B$14,0),FALSE)</f>
        <v>58.656666666666666</v>
      </c>
      <c r="N16" s="17">
        <f>HLOOKUP("Hardisty Heavy",'[2]Historical Yearly Input'!$2:$14,MATCH($B16,'[2]Historical Yearly Input'!$B$2:$B$14,0),FALSE)</f>
        <v>54.396666666666668</v>
      </c>
      <c r="O16" s="17">
        <f>HLOOKUP("Synbit AWB",'[2]Historical Yearly Input'!$2:$14,MATCH($B16,'[2]Historical Yearly Input'!$B$2:$B$14,0),FALSE)</f>
        <v>58.924911246643688</v>
      </c>
      <c r="P16" s="36">
        <f>HLOOKUP("Sarnia Refinery",'[2]Historical Yearly Input'!$2:$14,MATCH($B16,'[2]Historical Yearly Input'!$B$2:$B$14,0),FALSE)</f>
        <v>69.288732529174965</v>
      </c>
      <c r="Q16" s="40">
        <f>HLOOKUP("Ontario Dawn",'[2]Historical Yearly Input'!$2:$14,MATCH($B16,'[2]Historical Yearly Input'!$B$2:$B$14,0),FALSE)</f>
        <v>4.7954999999999997</v>
      </c>
    </row>
    <row r="17" spans="1:17" x14ac:dyDescent="0.2">
      <c r="A17" s="15" t="s">
        <v>55</v>
      </c>
      <c r="B17" s="16">
        <f t="shared" si="0"/>
        <v>2010</v>
      </c>
      <c r="C17" s="13">
        <f>HLOOKUP("Price Inflation",'[2]Historical Yearly Input'!$2:$14,MATCH($B17,'[2]Historical Yearly Input'!$B$2:$B$14,0),FALSE)</f>
        <v>1.7583333333333329E-2</v>
      </c>
      <c r="D17" s="13">
        <f>HLOOKUP("Price Inflation",'[2]Historical Yearly Input'!$2:$14,MATCH($B17,'[2]Historical Yearly Input'!$B$2:$B$14,0),FALSE)</f>
        <v>1.7583333333333329E-2</v>
      </c>
      <c r="E17" s="31">
        <f>HLOOKUP("Canadian Dollar",'[2]Historical Yearly Input'!$2:$14,MATCH($B17,'[2]Historical Yearly Input'!$B$2:$B$14,0),FALSE)</f>
        <v>0.97091666666666665</v>
      </c>
      <c r="F17" s="32">
        <f>G17/((1-$C17)*(1-$C18)*(1-$C19)*(1-$C20)*(1-$C21)*(1-$C22))</f>
        <v>87.97927638716115</v>
      </c>
      <c r="G17" s="17">
        <f>HLOOKUP("WTI",'[2]Historical Yearly Input'!$2:$14,MATCH($B17,'[2]Historical Yearly Input'!$B$2:$B$14,0),FALSE)</f>
        <v>79.39500000000001</v>
      </c>
      <c r="H17" s="17">
        <f>I17/((1-$C17)*(1-$C18)*(1-$C19)*(1-$C20)*(1-$C21)*(1-$C22))</f>
        <v>86.216440370796875</v>
      </c>
      <c r="I17" s="17">
        <f>HLOOKUP("Edmonton Light",'[2]Historical Yearly Input'!$2:$14,MATCH($B17,'[2]Historical Yearly Input'!$B$2:$B$14,0),FALSE)</f>
        <v>77.804166666666674</v>
      </c>
      <c r="J17" s="17">
        <f>HLOOKUP("Cromer Light",'[2]Historical Yearly Input'!$2:$14,MATCH($B17,'[2]Historical Yearly Input'!$B$2:$B$14,0),FALSE)</f>
        <v>76.394999999999996</v>
      </c>
      <c r="K17" s="17">
        <f>HLOOKUP("Hardisty MSO",'[2]Historical Yearly Input'!$2:$14,MATCH($B17,'[2]Historical Yearly Input'!$B$2:$B$14,0),FALSE)</f>
        <v>72.31750000000001</v>
      </c>
      <c r="L17" s="17">
        <f>HLOOKUP("Hardisty Bow River",'[2]Historical Yearly Input'!$2:$14,MATCH($B17,'[2]Historical Yearly Input'!$B$2:$B$14,0),FALSE)</f>
        <v>68.181666666666672</v>
      </c>
      <c r="M17" s="17">
        <f>HLOOKUP("Hardisty WCS",'[2]Historical Yearly Input'!$2:$14,MATCH($B17,'[2]Historical Yearly Input'!$B$2:$B$14,0),FALSE)</f>
        <v>67.222500000000011</v>
      </c>
      <c r="N17" s="17">
        <f>HLOOKUP("Hardisty Heavy",'[2]Historical Yearly Input'!$2:$14,MATCH($B17,'[2]Historical Yearly Input'!$B$2:$B$14,0),FALSE)</f>
        <v>60.622500000000002</v>
      </c>
      <c r="O17" s="17">
        <f>HLOOKUP("Synbit AWB",'[2]Historical Yearly Input'!$2:$14,MATCH($B17,'[2]Historical Yearly Input'!$B$2:$B$14,0),FALSE)</f>
        <v>67.641459000821555</v>
      </c>
      <c r="P17" s="36">
        <f>HLOOKUP("Sarnia Refinery",'[2]Historical Yearly Input'!$2:$14,MATCH($B17,'[2]Historical Yearly Input'!$B$2:$B$14,0),FALSE)</f>
        <v>81.482837419453176</v>
      </c>
      <c r="Q17" s="40">
        <f>HLOOKUP("Ontario Dawn",'[2]Historical Yearly Input'!$2:$14,MATCH($B17,'[2]Historical Yearly Input'!$B$2:$B$14,0),FALSE)</f>
        <v>4.7887499999999994</v>
      </c>
    </row>
    <row r="18" spans="1:17" x14ac:dyDescent="0.2">
      <c r="A18" s="15" t="s">
        <v>56</v>
      </c>
      <c r="B18" s="16">
        <f t="shared" si="0"/>
        <v>2011</v>
      </c>
      <c r="C18" s="13">
        <f>HLOOKUP("Price Inflation",'[2]Historical Yearly Input'!$2:$14,MATCH($B18,'[2]Historical Yearly Input'!$B$2:$B$14,0),FALSE)</f>
        <v>2.9166666666666674E-2</v>
      </c>
      <c r="D18" s="13">
        <f>HLOOKUP("Price Inflation",'[2]Historical Yearly Input'!$2:$14,MATCH($B18,'[2]Historical Yearly Input'!$B$2:$B$14,0),FALSE)</f>
        <v>2.9166666666666674E-2</v>
      </c>
      <c r="E18" s="31">
        <f>HLOOKUP("Canadian Dollar",'[2]Historical Yearly Input'!$2:$14,MATCH($B18,'[2]Historical Yearly Input'!$B$2:$B$14,0),FALSE)</f>
        <v>1.0114999999999998</v>
      </c>
      <c r="F18" s="32">
        <f>G18/((1-$C18)*(1-$C19)*(1-$C20)*(1-$C21)*(1-$C22))</f>
        <v>103.29438207573511</v>
      </c>
      <c r="G18" s="17">
        <f>HLOOKUP("WTI",'[2]Historical Yearly Input'!$2:$14,MATCH($B18,'[2]Historical Yearly Input'!$B$2:$B$14,0),FALSE)</f>
        <v>94.884166666666658</v>
      </c>
      <c r="H18" s="17">
        <f>I18/((1-$C18)*(1-$C19)*(1-$C20)*(1-$C21)*(1-$C22))</f>
        <v>104.00653188936272</v>
      </c>
      <c r="I18" s="17">
        <f>HLOOKUP("Edmonton Light",'[2]Historical Yearly Input'!$2:$14,MATCH($B18,'[2]Historical Yearly Input'!$B$2:$B$14,0),FALSE)</f>
        <v>95.538333333333341</v>
      </c>
      <c r="J18" s="17">
        <f>HLOOKUP("Cromer Light",'[2]Historical Yearly Input'!$2:$14,MATCH($B18,'[2]Historical Yearly Input'!$B$2:$B$14,0),FALSE)</f>
        <v>92.125833333333333</v>
      </c>
      <c r="K18" s="17">
        <f>HLOOKUP("Hardisty MSO",'[2]Historical Yearly Input'!$2:$14,MATCH($B18,'[2]Historical Yearly Input'!$B$2:$B$14,0),FALSE)</f>
        <v>83.388333333333335</v>
      </c>
      <c r="L18" s="17">
        <f>HLOOKUP("Hardisty Bow River",'[2]Historical Yearly Input'!$2:$14,MATCH($B18,'[2]Historical Yearly Input'!$B$2:$B$14,0),FALSE)</f>
        <v>78.418333333333337</v>
      </c>
      <c r="M18" s="17">
        <f>HLOOKUP("Hardisty WCS",'[2]Historical Yearly Input'!$2:$14,MATCH($B18,'[2]Historical Yearly Input'!$B$2:$B$14,0),FALSE)</f>
        <v>77.115833333333327</v>
      </c>
      <c r="N18" s="17">
        <f>HLOOKUP("Hardisty Heavy",'[2]Historical Yearly Input'!$2:$14,MATCH($B18,'[2]Historical Yearly Input'!$B$2:$B$14,0),FALSE)</f>
        <v>69.594999999999985</v>
      </c>
      <c r="O18" s="17">
        <f>HLOOKUP("Synbit AWB",'[2]Historical Yearly Input'!$2:$14,MATCH($B18,'[2]Historical Yearly Input'!$B$2:$B$14,0),FALSE)</f>
        <v>80.288104053476403</v>
      </c>
      <c r="P18" s="36">
        <f>HLOOKUP("Sarnia Refinery",'[2]Historical Yearly Input'!$2:$14,MATCH($B18,'[2]Historical Yearly Input'!$B$2:$B$14,0),FALSE)</f>
        <v>99.259528382426069</v>
      </c>
      <c r="Q18" s="40">
        <f>HLOOKUP("Ontario Dawn",'[2]Historical Yearly Input'!$2:$14,MATCH($B18,'[2]Historical Yearly Input'!$B$2:$B$14,0),FALSE)</f>
        <v>4.3409166666666659</v>
      </c>
    </row>
    <row r="19" spans="1:17" x14ac:dyDescent="0.2">
      <c r="A19" s="15" t="s">
        <v>52</v>
      </c>
      <c r="B19" s="16">
        <f t="shared" si="0"/>
        <v>2012</v>
      </c>
      <c r="C19" s="13">
        <f>HLOOKUP("Price Inflation",'[2]Historical Yearly Input'!$2:$14,MATCH($B19,'[2]Historical Yearly Input'!$B$2:$B$14,0),FALSE)</f>
        <v>1.516666666666667E-2</v>
      </c>
      <c r="D19" s="13">
        <f>HLOOKUP("Price Inflation",'[2]Historical Yearly Input'!$2:$14,MATCH($B19,'[2]Historical Yearly Input'!$B$2:$B$14,0),FALSE)</f>
        <v>1.516666666666667E-2</v>
      </c>
      <c r="E19" s="31">
        <f>HLOOKUP("Canadian Dollar",'[2]Historical Yearly Input'!$2:$14,MATCH($B19,'[2]Historical Yearly Input'!$B$2:$B$14,0),FALSE)</f>
        <v>1.0008333333333332</v>
      </c>
      <c r="F19" s="32">
        <f>G19/((1-$C19)*(1-$C20)*(1-$C21)*(1-$C22))</f>
        <v>99.463424317165291</v>
      </c>
      <c r="G19" s="17">
        <f>HLOOKUP("WTI",'[2]Historical Yearly Input'!$2:$14,MATCH($B19,'[2]Historical Yearly Input'!$B$2:$B$14,0),FALSE)</f>
        <v>94.11</v>
      </c>
      <c r="H19" s="41">
        <f>I19/((1-$C19)*(1-$C20)*(1-$C21)*(1-$C22))</f>
        <v>91.496274737125276</v>
      </c>
      <c r="I19" s="17">
        <f>HLOOKUP("Edmonton Light",'[2]Historical Yearly Input'!$2:$14,MATCH($B19,'[2]Historical Yearly Input'!$B$2:$B$14,0),FALSE)</f>
        <v>86.571666666666658</v>
      </c>
      <c r="J19" s="17">
        <f>HLOOKUP("Cromer Light",'[2]Historical Yearly Input'!$2:$14,MATCH($B19,'[2]Historical Yearly Input'!$B$2:$B$14,0),FALSE)</f>
        <v>84.268333333333331</v>
      </c>
      <c r="K19" s="17">
        <f>HLOOKUP("Hardisty MSO",'[2]Historical Yearly Input'!$2:$14,MATCH($B19,'[2]Historical Yearly Input'!$B$2:$B$14,0),FALSE)</f>
        <v>77.533333333333331</v>
      </c>
      <c r="L19" s="17">
        <f>HLOOKUP("Hardisty Bow River",'[2]Historical Yearly Input'!$2:$14,MATCH($B19,'[2]Historical Yearly Input'!$B$2:$B$14,0),FALSE)</f>
        <v>74.407500000000013</v>
      </c>
      <c r="M19" s="17">
        <f>HLOOKUP("Hardisty WCS",'[2]Historical Yearly Input'!$2:$14,MATCH($B19,'[2]Historical Yearly Input'!$B$2:$B$14,0),FALSE)</f>
        <v>73.096666666666664</v>
      </c>
      <c r="N19" s="17">
        <f>HLOOKUP("Hardisty Heavy",'[2]Historical Yearly Input'!$2:$14,MATCH($B19,'[2]Historical Yearly Input'!$B$2:$B$14,0),FALSE)</f>
        <v>64.06750000000001</v>
      </c>
      <c r="O19" s="17">
        <f>HLOOKUP("Synbit AWB",'[2]Historical Yearly Input'!$2:$14,MATCH($B19,'[2]Historical Yearly Input'!$B$2:$B$14,0),FALSE)</f>
        <v>74.74712080616635</v>
      </c>
      <c r="P19" s="36">
        <f>HLOOKUP("Sarnia Refinery",'[2]Historical Yearly Input'!$2:$14,MATCH($B19,'[2]Historical Yearly Input'!$B$2:$B$14,0),FALSE)</f>
        <v>90.357882556847258</v>
      </c>
      <c r="Q19" s="40">
        <f>HLOOKUP("Ontario Dawn",'[2]Historical Yearly Input'!$2:$14,MATCH($B19,'[2]Historical Yearly Input'!$B$2:$B$14,0),FALSE)</f>
        <v>3.1054999999999997</v>
      </c>
    </row>
    <row r="20" spans="1:17" x14ac:dyDescent="0.2">
      <c r="A20" s="15" t="s">
        <v>57</v>
      </c>
      <c r="B20" s="16">
        <f t="shared" si="0"/>
        <v>2013</v>
      </c>
      <c r="C20" s="13">
        <f>HLOOKUP("Price Inflation",'[2]Historical Yearly Input'!$2:$14,MATCH($B20,'[2]Historical Yearly Input'!$B$2:$B$14,0),FALSE)</f>
        <v>9.4166666666666652E-3</v>
      </c>
      <c r="D20" s="13">
        <f>HLOOKUP("Price Inflation",'[2]Historical Yearly Input'!$2:$14,MATCH($B20,'[2]Historical Yearly Input'!$B$2:$B$14,0),FALSE)</f>
        <v>9.4166666666666652E-3</v>
      </c>
      <c r="E20" s="31">
        <f>HLOOKUP("Canadian Dollar",'[2]Historical Yearly Input'!$2:$14,MATCH($B20,'[2]Historical Yearly Input'!$B$2:$B$14,0),FALSE)</f>
        <v>0.97175</v>
      </c>
      <c r="F20" s="32">
        <f>G20/((1-$C20)*(1-$C21)*(1-$C22))</f>
        <v>101.90580909636546</v>
      </c>
      <c r="G20" s="17">
        <f>HLOOKUP("WTI",'[2]Historical Yearly Input'!$2:$14,MATCH($B20,'[2]Historical Yearly Input'!$B$2:$B$14,0),FALSE)</f>
        <v>97.90583333333332</v>
      </c>
      <c r="H20" s="17">
        <f>I20/((1-$C20)*(1-$C21)*(1-$C22))</f>
        <v>97.170784694882215</v>
      </c>
      <c r="I20" s="17">
        <f>HLOOKUP("Edmonton Light",'[2]Historical Yearly Input'!$2:$14,MATCH($B20,'[2]Historical Yearly Input'!$B$2:$B$14,0),FALSE)</f>
        <v>93.356666666666641</v>
      </c>
      <c r="J20" s="17">
        <f>HLOOKUP("Cromer Light",'[2]Historical Yearly Input'!$2:$14,MATCH($B20,'[2]Historical Yearly Input'!$B$2:$B$14,0),FALSE)</f>
        <v>91.762500000000003</v>
      </c>
      <c r="K20" s="17">
        <f>HLOOKUP("Hardisty MSO",'[2]Historical Yearly Input'!$2:$14,MATCH($B20,'[2]Historical Yearly Input'!$B$2:$B$14,0),FALSE)</f>
        <v>82.650833333333324</v>
      </c>
      <c r="L20" s="17">
        <f>HLOOKUP("Hardisty Bow River",'[2]Historical Yearly Input'!$2:$14,MATCH($B20,'[2]Historical Yearly Input'!$B$2:$B$14,0),FALSE)</f>
        <v>76.288333333333341</v>
      </c>
      <c r="M20" s="17">
        <f>HLOOKUP("Hardisty WCS",'[2]Historical Yearly Input'!$2:$14,MATCH($B20,'[2]Historical Yearly Input'!$B$2:$B$14,0),FALSE)</f>
        <v>74.964999999999989</v>
      </c>
      <c r="N20" s="17">
        <f>HLOOKUP("Hardisty Heavy",'[2]Historical Yearly Input'!$2:$14,MATCH($B20,'[2]Historical Yearly Input'!$B$2:$B$14,0),FALSE)</f>
        <v>65.489999999999995</v>
      </c>
      <c r="O20" s="17">
        <f>HLOOKUP("Synbit AWB",'[2]Historical Yearly Input'!$2:$14,MATCH($B20,'[2]Historical Yearly Input'!$B$2:$B$14,0),FALSE)</f>
        <v>76.898702723876397</v>
      </c>
      <c r="P20" s="36">
        <f>HLOOKUP("Sarnia Refinery",'[2]Historical Yearly Input'!$2:$14,MATCH($B20,'[2]Historical Yearly Input'!$B$2:$B$14,0),FALSE)</f>
        <v>97.328385795900033</v>
      </c>
      <c r="Q20" s="40">
        <f>HLOOKUP("Ontario Dawn",'[2]Historical Yearly Input'!$2:$14,MATCH($B20,'[2]Historical Yearly Input'!$B$2:$B$14,0),FALSE)</f>
        <v>4.1310000000000002</v>
      </c>
    </row>
    <row r="21" spans="1:17" x14ac:dyDescent="0.2">
      <c r="A21" s="15" t="s">
        <v>58</v>
      </c>
      <c r="B21" s="16">
        <f t="shared" si="0"/>
        <v>2014</v>
      </c>
      <c r="C21" s="13">
        <f>HLOOKUP("Price Inflation",'[2]Historical Yearly Input'!$2:$14,MATCH($B21,'[2]Historical Yearly Input'!$B$2:$B$14,0),FALSE)</f>
        <v>1.9083333333333327E-2</v>
      </c>
      <c r="D21" s="13">
        <f>HLOOKUP("Price Inflation",'[2]Historical Yearly Input'!$2:$14,MATCH($B21,'[2]Historical Yearly Input'!$B$2:$B$14,0),FALSE)</f>
        <v>1.9083333333333327E-2</v>
      </c>
      <c r="E21" s="31">
        <f>HLOOKUP("Canadian Dollar",'[2]Historical Yearly Input'!$2:$14,MATCH($B21,'[2]Historical Yearly Input'!$B$2:$B$14,0),FALSE)</f>
        <v>0.90549999999999997</v>
      </c>
      <c r="F21" s="32">
        <f>G21/((1-$C21)*(1-$C22))</f>
        <v>96.154372834048317</v>
      </c>
      <c r="G21" s="17">
        <f>HLOOKUP("WTI",'[2]Historical Yearly Input'!$2:$14,MATCH($B21,'[2]Historical Yearly Input'!$B$2:$B$14,0),FALSE)</f>
        <v>93.258333333333326</v>
      </c>
      <c r="H21" s="17">
        <f>I21/((1-$C21)*(1-$C22))</f>
        <v>96.914464956216875</v>
      </c>
      <c r="I21" s="17">
        <f>HLOOKUP("Edmonton Light",'[2]Historical Yearly Input'!$2:$14,MATCH($B21,'[2]Historical Yearly Input'!$B$2:$B$14,0),FALSE)</f>
        <v>93.995532510073588</v>
      </c>
      <c r="J21" s="17">
        <f>HLOOKUP("Cromer Light",'[2]Historical Yearly Input'!$2:$14,MATCH($B21,'[2]Historical Yearly Input'!$B$2:$B$14,0),FALSE)</f>
        <v>92.913162207122255</v>
      </c>
      <c r="K21" s="17">
        <f>HLOOKUP("Hardisty MSO",'[2]Historical Yearly Input'!$2:$14,MATCH($B21,'[2]Historical Yearly Input'!$B$2:$B$14,0),FALSE)</f>
        <v>89.391596519817952</v>
      </c>
      <c r="L21" s="17">
        <f>HLOOKUP("Hardisty Bow River",'[2]Historical Yearly Input'!$2:$14,MATCH($B21,'[2]Historical Yearly Input'!$B$2:$B$14,0),FALSE)</f>
        <v>81.487892764615609</v>
      </c>
      <c r="M21" s="17">
        <f>HLOOKUP("Hardisty WCS",'[2]Historical Yearly Input'!$2:$14,MATCH($B21,'[2]Historical Yearly Input'!$B$2:$B$14,0),FALSE)</f>
        <v>81.064024828893665</v>
      </c>
      <c r="N21" s="17">
        <f>HLOOKUP("Hardisty Heavy",'[2]Historical Yearly Input'!$2:$14,MATCH($B21,'[2]Historical Yearly Input'!$B$2:$B$14,0),FALSE)</f>
        <v>73.695736102922822</v>
      </c>
      <c r="O21" s="17">
        <f>HLOOKUP("Synbit AWB",'[2]Historical Yearly Input'!$2:$14,MATCH($B21,'[2]Historical Yearly Input'!$B$2:$B$14,0),FALSE)</f>
        <v>82.029007558554369</v>
      </c>
      <c r="P21" s="36">
        <f>HLOOKUP("Sarnia Refinery",'[2]Historical Yearly Input'!$2:$14,MATCH($B21,'[2]Historical Yearly Input'!$B$2:$B$14,0),FALSE)</f>
        <v>98.186165136900001</v>
      </c>
      <c r="Q21" s="40">
        <f>HLOOKUP("Ontario Dawn",'[2]Historical Yearly Input'!$2:$14,MATCH($B21,'[2]Historical Yearly Input'!$B$2:$B$14,0),FALSE)</f>
        <v>5.7607500000000007</v>
      </c>
    </row>
    <row r="22" spans="1:17" ht="13.5" thickBot="1" x14ac:dyDescent="0.25">
      <c r="A22" s="42" t="s">
        <v>59</v>
      </c>
      <c r="B22" s="43">
        <f t="shared" si="0"/>
        <v>2015</v>
      </c>
      <c r="C22" s="44">
        <f>HLOOKUP("Price Inflation",'[2]Historical Yearly Input'!$2:$14,MATCH($B22,'[2]Historical Yearly Input'!$B$2:$B$14,0),FALSE)</f>
        <v>1.1250000000000001E-2</v>
      </c>
      <c r="D22" s="44">
        <f>HLOOKUP("Price Inflation",'[2]Historical Yearly Input'!$2:$14,MATCH($B22,'[2]Historical Yearly Input'!$B$2:$B$14,0),FALSE)</f>
        <v>1.1250000000000001E-2</v>
      </c>
      <c r="E22" s="45">
        <f>HLOOKUP("Canadian Dollar",'[2]Historical Yearly Input'!$2:$14,MATCH($B22,'[2]Historical Yearly Input'!$B$2:$B$14,0),FALSE)</f>
        <v>0.78316666666666668</v>
      </c>
      <c r="F22" s="46">
        <f>G22/((1-$C22))</f>
        <v>49.241466498103662</v>
      </c>
      <c r="G22" s="47">
        <f>HLOOKUP("WTI",'[2]Historical Yearly Input'!$2:$14,MATCH($B22,'[2]Historical Yearly Input'!$B$2:$B$14,0),FALSE)</f>
        <v>48.6875</v>
      </c>
      <c r="H22" s="47">
        <f>I22/((1-$C22))</f>
        <v>57.646361985374348</v>
      </c>
      <c r="I22" s="47">
        <f>HLOOKUP("Edmonton Light",'[2]Historical Yearly Input'!$2:$14,MATCH($B22,'[2]Historical Yearly Input'!$B$2:$B$14,0),FALSE)</f>
        <v>56.997840413038887</v>
      </c>
      <c r="J22" s="47">
        <f>HLOOKUP("Cromer Light",'[2]Historical Yearly Input'!$2:$14,MATCH($B22,'[2]Historical Yearly Input'!$B$2:$B$14,0),FALSE)</f>
        <v>55.456548178777858</v>
      </c>
      <c r="K22" s="47">
        <f>HLOOKUP("Hardisty MSO",'[2]Historical Yearly Input'!$2:$14,MATCH($B22,'[2]Historical Yearly Input'!$B$2:$B$14,0),FALSE)</f>
        <v>54.702650248085007</v>
      </c>
      <c r="L22" s="47">
        <f>HLOOKUP("Hardisty Bow River",'[2]Historical Yearly Input'!$2:$14,MATCH($B22,'[2]Historical Yearly Input'!$B$2:$B$14,0),FALSE)</f>
        <v>45.233309127411935</v>
      </c>
      <c r="M22" s="47">
        <f>HLOOKUP("Hardisty WCS",'[2]Historical Yearly Input'!$2:$14,MATCH($B22,'[2]Historical Yearly Input'!$B$2:$B$14,0),FALSE)</f>
        <v>44.797506605479413</v>
      </c>
      <c r="N22" s="47">
        <f>HLOOKUP("Hardisty Heavy",'[2]Historical Yearly Input'!$2:$14,MATCH($B22,'[2]Historical Yearly Input'!$B$2:$B$14,0),FALSE)</f>
        <v>39.625643635887599</v>
      </c>
      <c r="O22" s="47">
        <f>HLOOKUP("Synbit AWB",'[2]Historical Yearly Input'!$2:$14,MATCH($B22,'[2]Historical Yearly Input'!$B$2:$B$14,0),FALSE)</f>
        <v>44.282071113319937</v>
      </c>
      <c r="P22" s="50">
        <f>HLOOKUP("Sarnia Refinery",'[2]Historical Yearly Input'!$2:$14,MATCH($B22,'[2]Historical Yearly Input'!$B$2:$B$14,0),FALSE)</f>
        <v>63.841830698077388</v>
      </c>
      <c r="Q22" s="52">
        <f>HLOOKUP("Ontario Dawn",'[2]Historical Yearly Input'!$2:$14,MATCH($B22,'[2]Historical Yearly Input'!$B$2:$B$14,0),FALSE)</f>
        <v>3.7247500000000002</v>
      </c>
    </row>
    <row r="23" spans="1:17" x14ac:dyDescent="0.2">
      <c r="A23" s="15" t="str">
        <f>MID(YEAR(EFFDATE),1,1)</f>
        <v>2</v>
      </c>
      <c r="B23" s="16" t="str">
        <f>(MONTH(EFFDATE))&amp;" Mths H"</f>
        <v>12 Mths H</v>
      </c>
      <c r="C23" s="13">
        <f>HLOOKUP("Price Inflation",'[2]Historical Yearly Input'!$2:$14,MATCH(YEAR(EFFDATE),'[2]Historical Yearly Input'!$B$2:$B$14,0),FALSE)</f>
        <v>1.55E-2</v>
      </c>
      <c r="D23" s="13">
        <f>HLOOKUP("Price Inflation",'[2]Historical Yearly Input'!$2:$14,MATCH(YEAR(EFFDATE),'[2]Historical Yearly Input'!$B$2:$B$14,0),FALSE)</f>
        <v>1.55E-2</v>
      </c>
      <c r="E23" s="31">
        <f>HLOOKUP("Canadian Dollar",'[2]Historical Yearly Input'!$2:$14,MATCH(YEAR(EFFDATE),'[2]Historical Yearly Input'!$B$2:$B$14,0),FALSE)</f>
        <v>0.75416666666666676</v>
      </c>
      <c r="F23" s="32">
        <f>HLOOKUP("WTI",'[2]Historical Yearly Input'!$2:$14,MATCH(YEAR(EFFDATE),'[2]Historical Yearly Input'!$B$2:$B$14,0),FALSE)</f>
        <v>42.977499999999999</v>
      </c>
      <c r="G23" s="17">
        <f>HLOOKUP("WTI",'[2]Historical Yearly Input'!$2:$14,MATCH(YEAR(EFFDATE),'[2]Historical Yearly Input'!$B$2:$B$14,0),FALSE)</f>
        <v>42.977499999999999</v>
      </c>
      <c r="H23" s="17">
        <f>HLOOKUP("Edmonton Light",'[2]Historical Yearly Input'!$2:$14,MATCH(YEAR(EFFDATE),'[2]Historical Yearly Input'!$B$2:$B$14,0),FALSE)</f>
        <v>52.244886948862103</v>
      </c>
      <c r="I23" s="17">
        <f>HLOOKUP("Edmonton Light",'[2]Historical Yearly Input'!$2:$14,MATCH(YEAR(EFFDATE),'[2]Historical Yearly Input'!$B$2:$B$14,0),FALSE)</f>
        <v>52.244886948862103</v>
      </c>
      <c r="J23" s="17">
        <f>HLOOKUP("Cromer Light",'[2]Historical Yearly Input'!$2:$14,MATCH(YEAR(EFFDATE),'[2]Historical Yearly Input'!$B$2:$B$14,0),FALSE)</f>
        <v>51.283718309397756</v>
      </c>
      <c r="K23" s="17">
        <f>HLOOKUP("Hardisty MSO",'[2]Historical Yearly Input'!$2:$14,MATCH(YEAR(EFFDATE),'[2]Historical Yearly Input'!$B$2:$B$14,0),FALSE)</f>
        <v>48.470251102740029</v>
      </c>
      <c r="L23" s="17">
        <f>HLOOKUP("Hardisty Bow River",'[2]Historical Yearly Input'!$2:$14,MATCH(YEAR(EFFDATE),'[2]Historical Yearly Input'!$B$2:$B$14,0),FALSE)</f>
        <v>39.130019196002614</v>
      </c>
      <c r="M23" s="17">
        <f>HLOOKUP("Hardisty WCS",'[2]Historical Yearly Input'!$2:$14,MATCH(YEAR(EFFDATE),'[2]Historical Yearly Input'!$B$2:$B$14,0),FALSE)</f>
        <v>38.798393209149097</v>
      </c>
      <c r="N23" s="17">
        <f>HLOOKUP("Hardisty Heavy",'[2]Historical Yearly Input'!$2:$14,MATCH(YEAR(EFFDATE),'[2]Historical Yearly Input'!$B$2:$B$14,0),FALSE)</f>
        <v>34.011223066785519</v>
      </c>
      <c r="O23" s="17">
        <f>HLOOKUP("Synbit AWB",'[2]Historical Yearly Input'!$2:$14,MATCH(YEAR(EFFDATE),'[2]Historical Yearly Input'!$B$2:$B$14,0),FALSE)</f>
        <v>39.470182963508456</v>
      </c>
      <c r="P23" s="36">
        <f>HLOOKUP("Sarnia Refinery",'[2]Historical Yearly Input'!$2:$14,MATCH(YEAR(EFFDATE),'[2]Historical Yearly Input'!$B$2:$B$14,0),FALSE)</f>
        <v>58.57624958614204</v>
      </c>
      <c r="Q23" s="38">
        <f>HLOOKUP("Ontario Dawn",'[2]Historical Yearly Input'!$2:$14,MATCH(YEAR(EFFDATE),'[2]Historical Yearly Input'!$B$2:$B$14,0),FALSE)</f>
        <v>3.4392062818336164</v>
      </c>
    </row>
    <row r="24" spans="1:17" x14ac:dyDescent="0.2">
      <c r="A24" s="15" t="str">
        <f>MID(YEAR(EFFDATE),2,1)</f>
        <v>0</v>
      </c>
      <c r="B24" s="16" t="str">
        <f>(12-MONTH(EFFDATE))&amp;" Mths F"</f>
        <v>0 Mths F</v>
      </c>
      <c r="C24" s="13">
        <f>HLOOKUP("Price Inflation",'[2]Deloitte Forecast Input Esc'!$2:$53,2+'[2]Deloitte Forecast Input Esc'!A4,FALSE)</f>
        <v>0</v>
      </c>
      <c r="D24" s="13">
        <f>HLOOKUP("Price Inflation",'[2]Deloitte Forecast Input Esc'!$2:$53,2+'[2]Deloitte Forecast Input Esc'!A4,FALSE)</f>
        <v>0</v>
      </c>
      <c r="E24" s="31" t="str">
        <f>IF((12-MONTH(EFFDATE))=0,"-",HLOOKUP("Canadian Dollar",'[2]Deloitte Forecast Input Esc'!$2:$53,2+'[2]Deloitte Forecast Input Esc'!A4,FALSE))</f>
        <v>-</v>
      </c>
      <c r="F24" s="32" t="str">
        <f>IF((12-MONTH(EFFDATE))=0,"-",HLOOKUP("WTI",'[2]Deloitte Forecast Input Real'!$2:$53,2+'[2]Deloitte Forecast Input Real'!A4,FALSE))</f>
        <v>-</v>
      </c>
      <c r="G24" s="17" t="str">
        <f>IF((12-MONTH(EFFDATE))=0,"-",HLOOKUP("WTI",'[2]Deloitte Forecast Input Esc'!$2:$53,2+'[2]Deloitte Forecast Input Esc'!A4,FALSE))</f>
        <v>-</v>
      </c>
      <c r="H24" s="17" t="str">
        <f>IF((12-MONTH(EFFDATE))=0,"-",HLOOKUP("Edmonton Light",'[2]Deloitte Forecast Input Real'!$2:$53,2+'[2]Deloitte Forecast Input Real'!A4,FALSE))</f>
        <v>-</v>
      </c>
      <c r="I24" s="17" t="str">
        <f>IF((12-MONTH(EFFDATE))=0,"-",HLOOKUP("Edmonton Light",'[2]Deloitte Forecast Input Esc'!$2:$53,2+'[2]Deloitte Forecast Input Esc'!A4,FALSE))</f>
        <v>-</v>
      </c>
      <c r="J24" s="17" t="str">
        <f>IF((12-MONTH(EFFDATE))=0,"-",HLOOKUP("Cromer Light",'[2]Deloitte Forecast Input Esc'!$2:$53,2+'[2]Deloitte Forecast Input Esc'!A4,FALSE))</f>
        <v>-</v>
      </c>
      <c r="K24" s="17" t="str">
        <f>IF((12-MONTH(EFFDATE))=0,"-",HLOOKUP("Hardisty MSO",'[2]Deloitte Forecast Input Esc'!$2:$53,2+'[2]Deloitte Forecast Input Esc'!A4,FALSE))</f>
        <v>-</v>
      </c>
      <c r="L24" s="17" t="str">
        <f>IF((12-MONTH(EFFDATE))=0,"-",HLOOKUP("Hardisty Bow River",'[2]Deloitte Forecast Input Esc'!$2:$53,2+'[2]Deloitte Forecast Input Esc'!A4,FALSE))</f>
        <v>-</v>
      </c>
      <c r="M24" s="17" t="str">
        <f>IF((12-MONTH(EFFDATE))=0,"-",HLOOKUP("Hardisty WCS",'[2]Deloitte Forecast Input Esc'!$2:$53,2+'[2]Deloitte Forecast Input Esc'!A4,FALSE))</f>
        <v>-</v>
      </c>
      <c r="N24" s="17" t="str">
        <f>IF((12-MONTH(EFFDATE))=0,"-",HLOOKUP("Hardisty Heavy",'[2]Deloitte Forecast Input Esc'!$2:$53,2+'[2]Deloitte Forecast Input Esc'!A4,FALSE))</f>
        <v>-</v>
      </c>
      <c r="O24" s="17" t="str">
        <f>IF((12-MONTH(EFFDATE))=0,"-",HLOOKUP("Synbit AWB",'[2]Deloitte Forecast Input Esc'!$2:$53,2+'[2]Deloitte Forecast Input Esc'!A4,FALSE))</f>
        <v>-</v>
      </c>
      <c r="P24" s="36" t="str">
        <f>IF((12-MONTH(EFFDATE))=0,"-",HLOOKUP("Sarnia Refinery",'[2]Deloitte Forecast Input Esc'!$2:$53,2+'[2]Deloitte Forecast Input Esc'!A4,FALSE))</f>
        <v>-</v>
      </c>
      <c r="Q24" s="38" t="str">
        <f>IF((12-MONTH(EFFDATE))=0,"-",HLOOKUP("Ontario Dawn",'[2]Deloitte Forecast Input Esc'!$2:$53,2+'[2]Deloitte Forecast Input Esc'!A4,FALSE))</f>
        <v>-</v>
      </c>
    </row>
    <row r="25" spans="1:17" x14ac:dyDescent="0.2">
      <c r="A25" s="15" t="str">
        <f>MID(YEAR(EFFDATE),3,1)</f>
        <v>1</v>
      </c>
      <c r="B25" s="53"/>
      <c r="C25" s="53"/>
      <c r="D25" s="53"/>
      <c r="E25" s="53"/>
      <c r="F25" s="11"/>
      <c r="G25" s="53"/>
      <c r="H25" s="53"/>
      <c r="I25" s="53"/>
      <c r="J25" s="53"/>
      <c r="K25" s="53"/>
      <c r="L25" s="53"/>
      <c r="M25" s="53"/>
      <c r="N25" s="53"/>
      <c r="O25" s="53"/>
      <c r="P25" s="53"/>
      <c r="Q25" s="54"/>
    </row>
    <row r="26" spans="1:17" ht="13.5" thickBot="1" x14ac:dyDescent="0.25">
      <c r="A26" s="42" t="str">
        <f>MID(YEAR(EFFDATE),4,1)</f>
        <v>6</v>
      </c>
      <c r="B26" s="43" t="s">
        <v>60</v>
      </c>
      <c r="C26" s="44" t="s">
        <v>61</v>
      </c>
      <c r="D26" s="44" t="s">
        <v>61</v>
      </c>
      <c r="E26" s="45">
        <f t="shared" ref="E26:Q26" si="1">IF((12-MONTH(EFFDATE))=0,E23,E23*MONTH(EFFDATE)/12 + E24*(12-MONTH(EFFDATE))/12)</f>
        <v>0.75416666666666676</v>
      </c>
      <c r="F26" s="32">
        <f t="shared" si="1"/>
        <v>42.977499999999999</v>
      </c>
      <c r="G26" s="47">
        <f t="shared" si="1"/>
        <v>42.977499999999999</v>
      </c>
      <c r="H26" s="47">
        <f t="shared" si="1"/>
        <v>52.244886948862103</v>
      </c>
      <c r="I26" s="47">
        <f t="shared" si="1"/>
        <v>52.244886948862103</v>
      </c>
      <c r="J26" s="47">
        <f t="shared" si="1"/>
        <v>51.283718309397756</v>
      </c>
      <c r="K26" s="47">
        <f t="shared" si="1"/>
        <v>48.470251102740029</v>
      </c>
      <c r="L26" s="47">
        <f t="shared" si="1"/>
        <v>39.130019196002614</v>
      </c>
      <c r="M26" s="47">
        <f t="shared" si="1"/>
        <v>38.798393209149097</v>
      </c>
      <c r="N26" s="47">
        <f t="shared" si="1"/>
        <v>34.011223066785519</v>
      </c>
      <c r="O26" s="47">
        <f t="shared" si="1"/>
        <v>39.470182963508456</v>
      </c>
      <c r="P26" s="55">
        <f t="shared" si="1"/>
        <v>58.57624958614204</v>
      </c>
      <c r="Q26" s="57">
        <f t="shared" si="1"/>
        <v>3.4392062818336164</v>
      </c>
    </row>
    <row r="27" spans="1:17" x14ac:dyDescent="0.2">
      <c r="A27" s="15" t="s">
        <v>62</v>
      </c>
      <c r="B27" s="16">
        <f>YEAR(EFFDATE+1)</f>
        <v>2017</v>
      </c>
      <c r="C27" s="13">
        <f>HLOOKUP("Price Inflation",'[2]Deloitte Forecast Input Esc'!$2:$53,2+'[2]Deloitte Forecast Input Esc'!A4,FALSE)</f>
        <v>0</v>
      </c>
      <c r="D27" s="13">
        <f>HLOOKUP("Price Inflation",'[2]Deloitte Forecast Input Esc'!$2:$53,2+'[2]Deloitte Forecast Input Esc'!A4,FALSE)</f>
        <v>0</v>
      </c>
      <c r="E27" s="31">
        <f>HLOOKUP("Canadian Dollar",'[2]Deloitte Forecast Input Esc'!$2:$53,2+'[2]Deloitte Forecast Input Esc'!A4,FALSE)</f>
        <v>0.74</v>
      </c>
      <c r="F27" s="72">
        <f>HLOOKUP("WTI",'[2]Deloitte Forecast Input Real'!$2:$53,2+'[2]Deloitte Forecast Input Real'!A4,FALSE)</f>
        <v>55</v>
      </c>
      <c r="G27" s="17">
        <f>HLOOKUP("WTI",'[2]Deloitte Forecast Input Esc'!$2:$53,2+'[2]Deloitte Forecast Input Esc'!A4,FALSE)</f>
        <v>55</v>
      </c>
      <c r="H27" s="17">
        <f>HLOOKUP("Edmonton Light",'[2]Deloitte Forecast Input Real'!$2:$53,2+'[2]Deloitte Forecast Input Real'!A4,FALSE)</f>
        <v>68.899999999999991</v>
      </c>
      <c r="I27" s="17">
        <f>HLOOKUP("Edmonton Light",'[2]Deloitte Forecast Input Esc'!$2:$53,2+'[2]Deloitte Forecast Input Esc'!A4,FALSE)</f>
        <v>68.899999999999991</v>
      </c>
      <c r="J27" s="17">
        <f>HLOOKUP("Cromer Light",'[2]Deloitte Forecast Input Esc'!$2:$53,2+'[2]Deloitte Forecast Input Esc'!A4,FALSE)</f>
        <v>67.400000000000006</v>
      </c>
      <c r="K27" s="17">
        <f>HLOOKUP("Hardisty MSO",'[2]Deloitte Forecast Input Esc'!$2:$53,2+'[2]Deloitte Forecast Input Esc'!A4,FALSE)</f>
        <v>64.900000000000006</v>
      </c>
      <c r="L27" s="17">
        <f>HLOOKUP("Hardisty Bow River",'[2]Deloitte Forecast Input Esc'!$2:$53,2+'[2]Deloitte Forecast Input Esc'!A4,FALSE)</f>
        <v>55.4</v>
      </c>
      <c r="M27" s="17">
        <f>HLOOKUP("Hardisty WCS",'[2]Deloitte Forecast Input Esc'!$2:$53,2+'[2]Deloitte Forecast Input Esc'!A4,FALSE)</f>
        <v>52.9</v>
      </c>
      <c r="N27" s="17">
        <f>HLOOKUP("Hardisty Heavy",'[2]Deloitte Forecast Input Esc'!$2:$53,2+'[2]Deloitte Forecast Input Esc'!A4,FALSE)</f>
        <v>48.9</v>
      </c>
      <c r="O27" s="17">
        <f>HLOOKUP("Synbit AWB",'[2]Deloitte Forecast Input Esc'!$2:$53,2+'[2]Deloitte Forecast Input Esc'!A4,FALSE)</f>
        <v>54.900000000000006</v>
      </c>
      <c r="P27" s="36">
        <f>HLOOKUP("Sarnia Refinery",'[2]Deloitte Forecast Input Esc'!$2:$53,2+'[2]Deloitte Forecast Input Esc'!A4,FALSE)</f>
        <v>74.900000000000006</v>
      </c>
      <c r="Q27" s="38">
        <f>HLOOKUP("Ontario Dawn",'[2]Deloitte Forecast Input Esc'!$2:$53,2+'[2]Deloitte Forecast Input Esc'!A4,FALSE)</f>
        <v>4.6999999999999993</v>
      </c>
    </row>
    <row r="28" spans="1:17" x14ac:dyDescent="0.2">
      <c r="A28" s="15" t="s">
        <v>55</v>
      </c>
      <c r="B28" s="16">
        <f>B27+1</f>
        <v>2018</v>
      </c>
      <c r="C28" s="13">
        <f>HLOOKUP("Price Inflation",'[2]Deloitte Forecast Input Esc'!$2:$53,2+'[2]Deloitte Forecast Input Esc'!A5,FALSE)</f>
        <v>0.02</v>
      </c>
      <c r="D28" s="13">
        <f>HLOOKUP("Price Inflation",'[2]Deloitte Forecast Input Esc'!$2:$53,2+'[2]Deloitte Forecast Input Esc'!A5,FALSE)</f>
        <v>0.02</v>
      </c>
      <c r="E28" s="31">
        <f>HLOOKUP("Canadian Dollar",'[2]Deloitte Forecast Input Esc'!$2:$53,2+'[2]Deloitte Forecast Input Esc'!A5,FALSE)</f>
        <v>0.76</v>
      </c>
      <c r="F28" s="32">
        <f>HLOOKUP("WTI",'[2]Deloitte Forecast Input Real'!$2:$53,2+'[2]Deloitte Forecast Input Real'!A5,FALSE)</f>
        <v>57</v>
      </c>
      <c r="G28" s="17">
        <f>HLOOKUP("WTI",'[2]Deloitte Forecast Input Esc'!$2:$53,2+'[2]Deloitte Forecast Input Esc'!A5,FALSE)</f>
        <v>58.150000000000006</v>
      </c>
      <c r="H28" s="17">
        <f>HLOOKUP("Edmonton Light",'[2]Deloitte Forecast Input Real'!$2:$53,2+'[2]Deloitte Forecast Input Real'!A5,FALSE)</f>
        <v>69.75</v>
      </c>
      <c r="I28" s="17">
        <f>HLOOKUP("Edmonton Light",'[2]Deloitte Forecast Input Esc'!$2:$53,2+'[2]Deloitte Forecast Input Esc'!A5,FALSE)</f>
        <v>71.150000000000006</v>
      </c>
      <c r="J28" s="17">
        <f>HLOOKUP("Cromer Light",'[2]Deloitte Forecast Input Esc'!$2:$53,2+'[2]Deloitte Forecast Input Esc'!A5,FALSE)</f>
        <v>69.599999999999994</v>
      </c>
      <c r="K28" s="17">
        <f>HLOOKUP("Hardisty MSO",'[2]Deloitte Forecast Input Esc'!$2:$53,2+'[2]Deloitte Forecast Input Esc'!A5,FALSE)</f>
        <v>67.05</v>
      </c>
      <c r="L28" s="17">
        <f>HLOOKUP("Hardisty Bow River",'[2]Deloitte Forecast Input Esc'!$2:$53,2+'[2]Deloitte Forecast Input Esc'!A5,FALSE)</f>
        <v>57.400000000000006</v>
      </c>
      <c r="M28" s="17">
        <f>HLOOKUP("Hardisty WCS",'[2]Deloitte Forecast Input Esc'!$2:$53,2+'[2]Deloitte Forecast Input Esc'!A5,FALSE)</f>
        <v>54.85</v>
      </c>
      <c r="N28" s="17">
        <f>HLOOKUP("Hardisty Heavy",'[2]Deloitte Forecast Input Esc'!$2:$53,2+'[2]Deloitte Forecast Input Esc'!A5,FALSE)</f>
        <v>50.75</v>
      </c>
      <c r="O28" s="17">
        <f>HLOOKUP("Synbit AWB",'[2]Deloitte Forecast Input Esc'!$2:$53,2+'[2]Deloitte Forecast Input Esc'!A5,FALSE)</f>
        <v>56.849999999999994</v>
      </c>
      <c r="P28" s="36">
        <f>HLOOKUP("Sarnia Refinery",'[2]Deloitte Forecast Input Esc'!$2:$53,2+'[2]Deloitte Forecast Input Esc'!A5,FALSE)</f>
        <v>77.25</v>
      </c>
      <c r="Q28" s="38">
        <f>HLOOKUP("Ontario Dawn",'[2]Deloitte Forecast Input Esc'!$2:$53,2+'[2]Deloitte Forecast Input Esc'!A5,FALSE)</f>
        <v>4.75</v>
      </c>
    </row>
    <row r="29" spans="1:17" x14ac:dyDescent="0.2">
      <c r="A29" s="15" t="s">
        <v>56</v>
      </c>
      <c r="B29" s="16">
        <f t="shared" ref="B29:B46" si="2">B28+1</f>
        <v>2019</v>
      </c>
      <c r="C29" s="13">
        <f>HLOOKUP("Price Inflation",'[2]Deloitte Forecast Input Esc'!$2:$53,2+'[2]Deloitte Forecast Input Esc'!A6,FALSE)</f>
        <v>0.02</v>
      </c>
      <c r="D29" s="13">
        <f>HLOOKUP("Price Inflation",'[2]Deloitte Forecast Input Esc'!$2:$53,2+'[2]Deloitte Forecast Input Esc'!A6,FALSE)</f>
        <v>0.02</v>
      </c>
      <c r="E29" s="31">
        <f>HLOOKUP("Canadian Dollar",'[2]Deloitte Forecast Input Esc'!$2:$53,2+'[2]Deloitte Forecast Input Esc'!A6,FALSE)</f>
        <v>0.78</v>
      </c>
      <c r="F29" s="32">
        <f>HLOOKUP("WTI",'[2]Deloitte Forecast Input Real'!$2:$53,2+'[2]Deloitte Forecast Input Real'!A6,FALSE)</f>
        <v>60</v>
      </c>
      <c r="G29" s="17">
        <f>HLOOKUP("WTI",'[2]Deloitte Forecast Input Esc'!$2:$53,2+'[2]Deloitte Forecast Input Esc'!A6,FALSE)</f>
        <v>62.400000000000006</v>
      </c>
      <c r="H29" s="17">
        <f>HLOOKUP("Edmonton Light",'[2]Deloitte Forecast Input Real'!$2:$53,2+'[2]Deloitte Forecast Input Real'!A6,FALSE)</f>
        <v>71.8</v>
      </c>
      <c r="I29" s="17">
        <f>HLOOKUP("Edmonton Light",'[2]Deloitte Forecast Input Esc'!$2:$53,2+'[2]Deloitte Forecast Input Esc'!A6,FALSE)</f>
        <v>74.7</v>
      </c>
      <c r="J29" s="17">
        <f>HLOOKUP("Cromer Light",'[2]Deloitte Forecast Input Esc'!$2:$53,2+'[2]Deloitte Forecast Input Esc'!A6,FALSE)</f>
        <v>73.150000000000006</v>
      </c>
      <c r="K29" s="17">
        <f>HLOOKUP("Hardisty MSO",'[2]Deloitte Forecast Input Esc'!$2:$53,2+'[2]Deloitte Forecast Input Esc'!A6,FALSE)</f>
        <v>70.55</v>
      </c>
      <c r="L29" s="17">
        <f>HLOOKUP("Hardisty Bow River",'[2]Deloitte Forecast Input Esc'!$2:$53,2+'[2]Deloitte Forecast Input Esc'!A6,FALSE)</f>
        <v>60.650000000000006</v>
      </c>
      <c r="M29" s="17">
        <f>HLOOKUP("Hardisty WCS",'[2]Deloitte Forecast Input Esc'!$2:$53,2+'[2]Deloitte Forecast Input Esc'!A6,FALSE)</f>
        <v>58.05</v>
      </c>
      <c r="N29" s="17">
        <f>HLOOKUP("Hardisty Heavy",'[2]Deloitte Forecast Input Esc'!$2:$53,2+'[2]Deloitte Forecast Input Esc'!A6,FALSE)</f>
        <v>53.9</v>
      </c>
      <c r="O29" s="17">
        <f>HLOOKUP("Synbit AWB",'[2]Deloitte Forecast Input Esc'!$2:$53,2+'[2]Deloitte Forecast Input Esc'!A6,FALSE)</f>
        <v>60.15</v>
      </c>
      <c r="P29" s="36">
        <f>HLOOKUP("Sarnia Refinery",'[2]Deloitte Forecast Input Esc'!$2:$53,2+'[2]Deloitte Forecast Input Esc'!A6,FALSE)</f>
        <v>80.95</v>
      </c>
      <c r="Q29" s="38">
        <f>HLOOKUP("Ontario Dawn",'[2]Deloitte Forecast Input Esc'!$2:$53,2+'[2]Deloitte Forecast Input Esc'!A6,FALSE)</f>
        <v>4.8</v>
      </c>
    </row>
    <row r="30" spans="1:17" x14ac:dyDescent="0.2">
      <c r="A30" s="15" t="s">
        <v>63</v>
      </c>
      <c r="B30" s="16">
        <f t="shared" si="2"/>
        <v>2020</v>
      </c>
      <c r="C30" s="13">
        <f>HLOOKUP("Price Inflation",'[2]Deloitte Forecast Input Esc'!$2:$53,2+'[2]Deloitte Forecast Input Esc'!A7,FALSE)</f>
        <v>0.02</v>
      </c>
      <c r="D30" s="13">
        <f>HLOOKUP("Price Inflation",'[2]Deloitte Forecast Input Esc'!$2:$53,2+'[2]Deloitte Forecast Input Esc'!A7,FALSE)</f>
        <v>0.02</v>
      </c>
      <c r="E30" s="31">
        <f>HLOOKUP("Canadian Dollar",'[2]Deloitte Forecast Input Esc'!$2:$53,2+'[2]Deloitte Forecast Input Esc'!A7,FALSE)</f>
        <v>0.81</v>
      </c>
      <c r="F30" s="32">
        <f>HLOOKUP("WTI",'[2]Deloitte Forecast Input Real'!$2:$53,2+'[2]Deloitte Forecast Input Real'!A7,FALSE)</f>
        <v>65</v>
      </c>
      <c r="G30" s="17">
        <f>HLOOKUP("WTI",'[2]Deloitte Forecast Input Esc'!$2:$53,2+'[2]Deloitte Forecast Input Esc'!A7,FALSE)</f>
        <v>69</v>
      </c>
      <c r="H30" s="17">
        <f>HLOOKUP("Edmonton Light",'[2]Deloitte Forecast Input Real'!$2:$53,2+'[2]Deloitte Forecast Input Real'!A7,FALSE)</f>
        <v>75.3</v>
      </c>
      <c r="I30" s="17">
        <f>HLOOKUP("Edmonton Light",'[2]Deloitte Forecast Input Esc'!$2:$53,2+'[2]Deloitte Forecast Input Esc'!A7,FALSE)</f>
        <v>79.900000000000006</v>
      </c>
      <c r="J30" s="17">
        <f>HLOOKUP("Cromer Light",'[2]Deloitte Forecast Input Esc'!$2:$53,2+'[2]Deloitte Forecast Input Esc'!A7,FALSE)</f>
        <v>78.3</v>
      </c>
      <c r="K30" s="17">
        <f>HLOOKUP("Hardisty MSO",'[2]Deloitte Forecast Input Esc'!$2:$53,2+'[2]Deloitte Forecast Input Esc'!A7,FALSE)</f>
        <v>75.650000000000006</v>
      </c>
      <c r="L30" s="17">
        <f>HLOOKUP("Hardisty Bow River",'[2]Deloitte Forecast Input Esc'!$2:$53,2+'[2]Deloitte Forecast Input Esc'!A7,FALSE)</f>
        <v>65.599999999999994</v>
      </c>
      <c r="M30" s="17">
        <f>HLOOKUP("Hardisty WCS",'[2]Deloitte Forecast Input Esc'!$2:$53,2+'[2]Deloitte Forecast Input Esc'!A7,FALSE)</f>
        <v>62.95</v>
      </c>
      <c r="N30" s="17">
        <f>HLOOKUP("Hardisty Heavy",'[2]Deloitte Forecast Input Esc'!$2:$53,2+'[2]Deloitte Forecast Input Esc'!A7,FALSE)</f>
        <v>58.7</v>
      </c>
      <c r="O30" s="17">
        <f>HLOOKUP("Synbit AWB",'[2]Deloitte Forecast Input Esc'!$2:$53,2+'[2]Deloitte Forecast Input Esc'!A7,FALSE)</f>
        <v>65.05</v>
      </c>
      <c r="P30" s="36">
        <f>HLOOKUP("Sarnia Refinery",'[2]Deloitte Forecast Input Esc'!$2:$53,2+'[2]Deloitte Forecast Input Esc'!A7,FALSE)</f>
        <v>86.300000000000011</v>
      </c>
      <c r="Q30" s="38">
        <f>HLOOKUP("Ontario Dawn",'[2]Deloitte Forecast Input Esc'!$2:$53,2+'[2]Deloitte Forecast Input Esc'!A7,FALSE)</f>
        <v>4.8</v>
      </c>
    </row>
    <row r="31" spans="1:17" x14ac:dyDescent="0.2">
      <c r="A31" s="15" t="s">
        <v>57</v>
      </c>
      <c r="B31" s="16">
        <f t="shared" si="2"/>
        <v>2021</v>
      </c>
      <c r="C31" s="13">
        <f>HLOOKUP("Price Inflation",'[2]Deloitte Forecast Input Esc'!$2:$53,2+'[2]Deloitte Forecast Input Esc'!A8,FALSE)</f>
        <v>0.02</v>
      </c>
      <c r="D31" s="13">
        <f>HLOOKUP("Price Inflation",'[2]Deloitte Forecast Input Esc'!$2:$53,2+'[2]Deloitte Forecast Input Esc'!A8,FALSE)</f>
        <v>0.02</v>
      </c>
      <c r="E31" s="31">
        <f>HLOOKUP("Canadian Dollar",'[2]Deloitte Forecast Input Esc'!$2:$53,2+'[2]Deloitte Forecast Input Esc'!A8,FALSE)</f>
        <v>0.85</v>
      </c>
      <c r="F31" s="32">
        <f>HLOOKUP("WTI",'[2]Deloitte Forecast Input Real'!$2:$53,2+'[2]Deloitte Forecast Input Real'!A8,FALSE)</f>
        <v>70</v>
      </c>
      <c r="G31" s="17">
        <f>HLOOKUP("WTI",'[2]Deloitte Forecast Input Esc'!$2:$53,2+'[2]Deloitte Forecast Input Esc'!A8,FALSE)</f>
        <v>75.75</v>
      </c>
      <c r="H31" s="17">
        <f>HLOOKUP("Edmonton Light",'[2]Deloitte Forecast Input Real'!$2:$53,2+'[2]Deloitte Forecast Input Real'!A8,FALSE)</f>
        <v>77.649999999999991</v>
      </c>
      <c r="I31" s="17">
        <f>HLOOKUP("Edmonton Light",'[2]Deloitte Forecast Input Esc'!$2:$53,2+'[2]Deloitte Forecast Input Esc'!A8,FALSE)</f>
        <v>84.05</v>
      </c>
      <c r="J31" s="17">
        <f>HLOOKUP("Cromer Light",'[2]Deloitte Forecast Input Esc'!$2:$53,2+'[2]Deloitte Forecast Input Esc'!A8,FALSE)</f>
        <v>82.449999999999989</v>
      </c>
      <c r="K31" s="17">
        <f>HLOOKUP("Hardisty MSO",'[2]Deloitte Forecast Input Esc'!$2:$53,2+'[2]Deloitte Forecast Input Esc'!A8,FALSE)</f>
        <v>79.7</v>
      </c>
      <c r="L31" s="17">
        <f>HLOOKUP("Hardisty Bow River",'[2]Deloitte Forecast Input Esc'!$2:$53,2+'[2]Deloitte Forecast Input Esc'!A8,FALSE)</f>
        <v>69.45</v>
      </c>
      <c r="M31" s="17">
        <f>HLOOKUP("Hardisty WCS",'[2]Deloitte Forecast Input Esc'!$2:$53,2+'[2]Deloitte Forecast Input Esc'!A8,FALSE)</f>
        <v>66.75</v>
      </c>
      <c r="N31" s="17">
        <f>HLOOKUP("Hardisty Heavy",'[2]Deloitte Forecast Input Esc'!$2:$53,2+'[2]Deloitte Forecast Input Esc'!A8,FALSE)</f>
        <v>62.400000000000006</v>
      </c>
      <c r="O31" s="17">
        <f>HLOOKUP("Synbit AWB",'[2]Deloitte Forecast Input Esc'!$2:$53,2+'[2]Deloitte Forecast Input Esc'!A8,FALSE)</f>
        <v>68.899999999999991</v>
      </c>
      <c r="P31" s="36">
        <f>HLOOKUP("Sarnia Refinery",'[2]Deloitte Forecast Input Esc'!$2:$53,2+'[2]Deloitte Forecast Input Esc'!A8,FALSE)</f>
        <v>90.55</v>
      </c>
      <c r="Q31" s="38">
        <f>HLOOKUP("Ontario Dawn",'[2]Deloitte Forecast Input Esc'!$2:$53,2+'[2]Deloitte Forecast Input Esc'!A8,FALSE)</f>
        <v>4.6999999999999993</v>
      </c>
    </row>
    <row r="32" spans="1:17" x14ac:dyDescent="0.2">
      <c r="A32" s="15" t="s">
        <v>58</v>
      </c>
      <c r="B32" s="16">
        <f t="shared" si="2"/>
        <v>2022</v>
      </c>
      <c r="C32" s="13">
        <f>HLOOKUP("Price Inflation",'[2]Deloitte Forecast Input Esc'!$2:$53,2+'[2]Deloitte Forecast Input Esc'!A9,FALSE)</f>
        <v>0.02</v>
      </c>
      <c r="D32" s="13">
        <f>HLOOKUP("Price Inflation",'[2]Deloitte Forecast Input Esc'!$2:$53,2+'[2]Deloitte Forecast Input Esc'!A9,FALSE)</f>
        <v>0.02</v>
      </c>
      <c r="E32" s="31">
        <f>HLOOKUP("Canadian Dollar",'[2]Deloitte Forecast Input Esc'!$2:$53,2+'[2]Deloitte Forecast Input Esc'!A9,FALSE)</f>
        <v>0.85</v>
      </c>
      <c r="F32" s="32">
        <f>HLOOKUP("WTI",'[2]Deloitte Forecast Input Real'!$2:$53,2+'[2]Deloitte Forecast Input Real'!A9,FALSE)</f>
        <v>75</v>
      </c>
      <c r="G32" s="17">
        <f>HLOOKUP("WTI",'[2]Deloitte Forecast Input Esc'!$2:$53,2+'[2]Deloitte Forecast Input Esc'!A9,FALSE)</f>
        <v>82.8</v>
      </c>
      <c r="H32" s="17">
        <f>HLOOKUP("Edmonton Light",'[2]Deloitte Forecast Input Real'!$2:$53,2+'[2]Deloitte Forecast Input Real'!A9,FALSE)</f>
        <v>83.550000000000011</v>
      </c>
      <c r="I32" s="17">
        <f>HLOOKUP("Edmonton Light",'[2]Deloitte Forecast Input Esc'!$2:$53,2+'[2]Deloitte Forecast Input Esc'!A9,FALSE)</f>
        <v>92.25</v>
      </c>
      <c r="J32" s="17">
        <f>HLOOKUP("Cromer Light",'[2]Deloitte Forecast Input Esc'!$2:$53,2+'[2]Deloitte Forecast Input Esc'!A9,FALSE)</f>
        <v>90.600000000000009</v>
      </c>
      <c r="K32" s="17">
        <f>HLOOKUP("Hardisty MSO",'[2]Deloitte Forecast Input Esc'!$2:$53,2+'[2]Deloitte Forecast Input Esc'!A9,FALSE)</f>
        <v>87.85</v>
      </c>
      <c r="L32" s="17">
        <f>HLOOKUP("Hardisty Bow River",'[2]Deloitte Forecast Input Esc'!$2:$53,2+'[2]Deloitte Forecast Input Esc'!A9,FALSE)</f>
        <v>77.350000000000009</v>
      </c>
      <c r="M32" s="17">
        <f>HLOOKUP("Hardisty WCS",'[2]Deloitte Forecast Input Esc'!$2:$53,2+'[2]Deloitte Forecast Input Esc'!A9,FALSE)</f>
        <v>74.599999999999994</v>
      </c>
      <c r="N32" s="17">
        <f>HLOOKUP("Hardisty Heavy",'[2]Deloitte Forecast Input Esc'!$2:$53,2+'[2]Deloitte Forecast Input Esc'!A9,FALSE)</f>
        <v>70.149999999999991</v>
      </c>
      <c r="O32" s="17">
        <f>HLOOKUP("Synbit AWB",'[2]Deloitte Forecast Input Esc'!$2:$53,2+'[2]Deloitte Forecast Input Esc'!A9,FALSE)</f>
        <v>76.8</v>
      </c>
      <c r="P32" s="36">
        <f>HLOOKUP("Sarnia Refinery",'[2]Deloitte Forecast Input Esc'!$2:$53,2+'[2]Deloitte Forecast Input Esc'!A9,FALSE)</f>
        <v>98.85</v>
      </c>
      <c r="Q32" s="38">
        <f>HLOOKUP("Ontario Dawn",'[2]Deloitte Forecast Input Esc'!$2:$53,2+'[2]Deloitte Forecast Input Esc'!A9,FALSE)</f>
        <v>4.95</v>
      </c>
    </row>
    <row r="33" spans="1:17" x14ac:dyDescent="0.2">
      <c r="A33" s="15" t="s">
        <v>53</v>
      </c>
      <c r="B33" s="16">
        <f t="shared" si="2"/>
        <v>2023</v>
      </c>
      <c r="C33" s="13">
        <f>HLOOKUP("Price Inflation",'[2]Deloitte Forecast Input Esc'!$2:$53,2+'[2]Deloitte Forecast Input Esc'!A10,FALSE)</f>
        <v>0.02</v>
      </c>
      <c r="D33" s="13">
        <f>HLOOKUP("Price Inflation",'[2]Deloitte Forecast Input Esc'!$2:$53,2+'[2]Deloitte Forecast Input Esc'!A10,FALSE)</f>
        <v>0.02</v>
      </c>
      <c r="E33" s="31">
        <f>HLOOKUP("Canadian Dollar",'[2]Deloitte Forecast Input Esc'!$2:$53,2+'[2]Deloitte Forecast Input Esc'!A10,FALSE)</f>
        <v>0.85</v>
      </c>
      <c r="F33" s="32">
        <f>HLOOKUP("WTI",'[2]Deloitte Forecast Input Real'!$2:$53,2+'[2]Deloitte Forecast Input Real'!A10,FALSE)</f>
        <v>75</v>
      </c>
      <c r="G33" s="17">
        <f>HLOOKUP("WTI",'[2]Deloitte Forecast Input Esc'!$2:$53,2+'[2]Deloitte Forecast Input Esc'!A10,FALSE)</f>
        <v>84.45</v>
      </c>
      <c r="H33" s="17">
        <f>HLOOKUP("Edmonton Light",'[2]Deloitte Forecast Input Real'!$2:$53,2+'[2]Deloitte Forecast Input Real'!A10,FALSE)</f>
        <v>83.550000000000011</v>
      </c>
      <c r="I33" s="17">
        <f>HLOOKUP("Edmonton Light",'[2]Deloitte Forecast Input Esc'!$2:$53,2+'[2]Deloitte Forecast Input Esc'!A10,FALSE)</f>
        <v>94.1</v>
      </c>
      <c r="J33" s="17">
        <f>HLOOKUP("Cromer Light",'[2]Deloitte Forecast Input Esc'!$2:$53,2+'[2]Deloitte Forecast Input Esc'!A10,FALSE)</f>
        <v>92.4</v>
      </c>
      <c r="K33" s="17">
        <f>HLOOKUP("Hardisty MSO",'[2]Deloitte Forecast Input Esc'!$2:$53,2+'[2]Deloitte Forecast Input Esc'!A10,FALSE)</f>
        <v>89.600000000000009</v>
      </c>
      <c r="L33" s="17">
        <f>HLOOKUP("Hardisty Bow River",'[2]Deloitte Forecast Input Esc'!$2:$53,2+'[2]Deloitte Forecast Input Esc'!A10,FALSE)</f>
        <v>78.899999999999991</v>
      </c>
      <c r="M33" s="17">
        <f>HLOOKUP("Hardisty WCS",'[2]Deloitte Forecast Input Esc'!$2:$53,2+'[2]Deloitte Forecast Input Esc'!A10,FALSE)</f>
        <v>76.050000000000011</v>
      </c>
      <c r="N33" s="17">
        <f>HLOOKUP("Hardisty Heavy",'[2]Deloitte Forecast Input Esc'!$2:$53,2+'[2]Deloitte Forecast Input Esc'!A10,FALSE)</f>
        <v>71.55</v>
      </c>
      <c r="O33" s="17">
        <f>HLOOKUP("Synbit AWB",'[2]Deloitte Forecast Input Esc'!$2:$53,2+'[2]Deloitte Forecast Input Esc'!A10,FALSE)</f>
        <v>78.3</v>
      </c>
      <c r="P33" s="36">
        <f>HLOOKUP("Sarnia Refinery",'[2]Deloitte Forecast Input Esc'!$2:$53,2+'[2]Deloitte Forecast Input Esc'!A10,FALSE)</f>
        <v>100.85000000000001</v>
      </c>
      <c r="Q33" s="38">
        <f>HLOOKUP("Ontario Dawn",'[2]Deloitte Forecast Input Esc'!$2:$53,2+'[2]Deloitte Forecast Input Esc'!A10,FALSE)</f>
        <v>5.25</v>
      </c>
    </row>
    <row r="34" spans="1:17" x14ac:dyDescent="0.2">
      <c r="A34" s="15" t="s">
        <v>54</v>
      </c>
      <c r="B34" s="16">
        <f t="shared" si="2"/>
        <v>2024</v>
      </c>
      <c r="C34" s="13">
        <f>HLOOKUP("Price Inflation",'[2]Deloitte Forecast Input Esc'!$2:$53,2+'[2]Deloitte Forecast Input Esc'!A11,FALSE)</f>
        <v>0.02</v>
      </c>
      <c r="D34" s="13">
        <f>HLOOKUP("Price Inflation",'[2]Deloitte Forecast Input Esc'!$2:$53,2+'[2]Deloitte Forecast Input Esc'!A11,FALSE)</f>
        <v>0.02</v>
      </c>
      <c r="E34" s="31">
        <f>HLOOKUP("Canadian Dollar",'[2]Deloitte Forecast Input Esc'!$2:$53,2+'[2]Deloitte Forecast Input Esc'!A11,FALSE)</f>
        <v>0.85</v>
      </c>
      <c r="F34" s="32">
        <f>HLOOKUP("WTI",'[2]Deloitte Forecast Input Real'!$2:$53,2+'[2]Deloitte Forecast Input Real'!A11,FALSE)</f>
        <v>75</v>
      </c>
      <c r="G34" s="17">
        <f>HLOOKUP("WTI",'[2]Deloitte Forecast Input Esc'!$2:$53,2+'[2]Deloitte Forecast Input Esc'!A11,FALSE)</f>
        <v>86.15</v>
      </c>
      <c r="H34" s="17">
        <f>HLOOKUP("Edmonton Light",'[2]Deloitte Forecast Input Real'!$2:$53,2+'[2]Deloitte Forecast Input Real'!A11,FALSE)</f>
        <v>83.550000000000011</v>
      </c>
      <c r="I34" s="17">
        <f>HLOOKUP("Edmonton Light",'[2]Deloitte Forecast Input Esc'!$2:$53,2+'[2]Deloitte Forecast Input Esc'!A11,FALSE)</f>
        <v>95.95</v>
      </c>
      <c r="J34" s="17">
        <f>HLOOKUP("Cromer Light",'[2]Deloitte Forecast Input Esc'!$2:$53,2+'[2]Deloitte Forecast Input Esc'!A11,FALSE)</f>
        <v>94.25</v>
      </c>
      <c r="K34" s="17">
        <f>HLOOKUP("Hardisty MSO",'[2]Deloitte Forecast Input Esc'!$2:$53,2+'[2]Deloitte Forecast Input Esc'!A11,FALSE)</f>
        <v>91.4</v>
      </c>
      <c r="L34" s="17">
        <f>HLOOKUP("Hardisty Bow River",'[2]Deloitte Forecast Input Esc'!$2:$53,2+'[2]Deloitte Forecast Input Esc'!A11,FALSE)</f>
        <v>80.45</v>
      </c>
      <c r="M34" s="17">
        <f>HLOOKUP("Hardisty WCS",'[2]Deloitte Forecast Input Esc'!$2:$53,2+'[2]Deloitte Forecast Input Esc'!A11,FALSE)</f>
        <v>77.599999999999994</v>
      </c>
      <c r="N34" s="17">
        <f>HLOOKUP("Hardisty Heavy",'[2]Deloitte Forecast Input Esc'!$2:$53,2+'[2]Deloitte Forecast Input Esc'!A11,FALSE)</f>
        <v>73</v>
      </c>
      <c r="O34" s="17">
        <f>HLOOKUP("Synbit AWB",'[2]Deloitte Forecast Input Esc'!$2:$53,2+'[2]Deloitte Forecast Input Esc'!A11,FALSE)</f>
        <v>79.900000000000006</v>
      </c>
      <c r="P34" s="36">
        <f>HLOOKUP("Sarnia Refinery",'[2]Deloitte Forecast Input Esc'!$2:$53,2+'[2]Deloitte Forecast Input Esc'!A11,FALSE)</f>
        <v>102.85</v>
      </c>
      <c r="Q34" s="38">
        <f>HLOOKUP("Ontario Dawn",'[2]Deloitte Forecast Input Esc'!$2:$53,2+'[2]Deloitte Forecast Input Esc'!A11,FALSE)</f>
        <v>5.5500000000000007</v>
      </c>
    </row>
    <row r="35" spans="1:17" x14ac:dyDescent="0.2">
      <c r="A35" s="15"/>
      <c r="B35" s="16">
        <f t="shared" si="2"/>
        <v>2025</v>
      </c>
      <c r="C35" s="13">
        <f>HLOOKUP("Price Inflation",'[2]Deloitte Forecast Input Esc'!$2:$53,2+'[2]Deloitte Forecast Input Esc'!A12,FALSE)</f>
        <v>0.02</v>
      </c>
      <c r="D35" s="13">
        <f>HLOOKUP("Price Inflation",'[2]Deloitte Forecast Input Esc'!$2:$53,2+'[2]Deloitte Forecast Input Esc'!A12,FALSE)</f>
        <v>0.02</v>
      </c>
      <c r="E35" s="31">
        <f>HLOOKUP("Canadian Dollar",'[2]Deloitte Forecast Input Esc'!$2:$53,2+'[2]Deloitte Forecast Input Esc'!A12,FALSE)</f>
        <v>0.85</v>
      </c>
      <c r="F35" s="32">
        <f>HLOOKUP("WTI",'[2]Deloitte Forecast Input Real'!$2:$53,2+'[2]Deloitte Forecast Input Real'!A12,FALSE)</f>
        <v>75</v>
      </c>
      <c r="G35" s="17">
        <f>HLOOKUP("WTI",'[2]Deloitte Forecast Input Esc'!$2:$53,2+'[2]Deloitte Forecast Input Esc'!A12,FALSE)</f>
        <v>87.85</v>
      </c>
      <c r="H35" s="17">
        <f>HLOOKUP("Edmonton Light",'[2]Deloitte Forecast Input Real'!$2:$53,2+'[2]Deloitte Forecast Input Real'!A12,FALSE)</f>
        <v>83.550000000000011</v>
      </c>
      <c r="I35" s="17">
        <f>HLOOKUP("Edmonton Light",'[2]Deloitte Forecast Input Esc'!$2:$53,2+'[2]Deloitte Forecast Input Esc'!A12,FALSE)</f>
        <v>97.899999999999991</v>
      </c>
      <c r="J35" s="17">
        <f>HLOOKUP("Cromer Light",'[2]Deloitte Forecast Input Esc'!$2:$53,2+'[2]Deloitte Forecast Input Esc'!A12,FALSE)</f>
        <v>96.15</v>
      </c>
      <c r="K35" s="17">
        <f>HLOOKUP("Hardisty MSO",'[2]Deloitte Forecast Input Esc'!$2:$53,2+'[2]Deloitte Forecast Input Esc'!A12,FALSE)</f>
        <v>93.2</v>
      </c>
      <c r="L35" s="17">
        <f>HLOOKUP("Hardisty Bow River",'[2]Deloitte Forecast Input Esc'!$2:$53,2+'[2]Deloitte Forecast Input Esc'!A12,FALSE)</f>
        <v>82.05</v>
      </c>
      <c r="M35" s="17">
        <f>HLOOKUP("Hardisty WCS",'[2]Deloitte Forecast Input Esc'!$2:$53,2+'[2]Deloitte Forecast Input Esc'!A12,FALSE)</f>
        <v>79.150000000000006</v>
      </c>
      <c r="N35" s="17">
        <f>HLOOKUP("Hardisty Heavy",'[2]Deloitte Forecast Input Esc'!$2:$53,2+'[2]Deloitte Forecast Input Esc'!A12,FALSE)</f>
        <v>74.45</v>
      </c>
      <c r="O35" s="17">
        <f>HLOOKUP("Synbit AWB",'[2]Deloitte Forecast Input Esc'!$2:$53,2+'[2]Deloitte Forecast Input Esc'!A12,FALSE)</f>
        <v>81.5</v>
      </c>
      <c r="P35" s="36">
        <f>HLOOKUP("Sarnia Refinery",'[2]Deloitte Forecast Input Esc'!$2:$53,2+'[2]Deloitte Forecast Input Esc'!A12,FALSE)</f>
        <v>104.9</v>
      </c>
      <c r="Q35" s="38">
        <f>HLOOKUP("Ontario Dawn",'[2]Deloitte Forecast Input Esc'!$2:$53,2+'[2]Deloitte Forecast Input Esc'!A12,FALSE)</f>
        <v>5.8</v>
      </c>
    </row>
    <row r="36" spans="1:17" x14ac:dyDescent="0.2">
      <c r="A36" s="11"/>
      <c r="B36" s="16">
        <f t="shared" si="2"/>
        <v>2026</v>
      </c>
      <c r="C36" s="13">
        <f>HLOOKUP("Price Inflation",'[2]Deloitte Forecast Input Esc'!$2:$53,2+'[2]Deloitte Forecast Input Esc'!A13,FALSE)</f>
        <v>0.02</v>
      </c>
      <c r="D36" s="13">
        <f>HLOOKUP("Price Inflation",'[2]Deloitte Forecast Input Esc'!$2:$53,2+'[2]Deloitte Forecast Input Esc'!A13,FALSE)</f>
        <v>0.02</v>
      </c>
      <c r="E36" s="31">
        <f>HLOOKUP("Canadian Dollar",'[2]Deloitte Forecast Input Esc'!$2:$53,2+'[2]Deloitte Forecast Input Esc'!A13,FALSE)</f>
        <v>0.85</v>
      </c>
      <c r="F36" s="32">
        <f>HLOOKUP("WTI",'[2]Deloitte Forecast Input Real'!$2:$53,2+'[2]Deloitte Forecast Input Real'!A13,FALSE)</f>
        <v>75</v>
      </c>
      <c r="G36" s="17">
        <f>HLOOKUP("WTI",'[2]Deloitte Forecast Input Esc'!$2:$53,2+'[2]Deloitte Forecast Input Esc'!A13,FALSE)</f>
        <v>89.65</v>
      </c>
      <c r="H36" s="17">
        <f>HLOOKUP("Edmonton Light",'[2]Deloitte Forecast Input Real'!$2:$53,2+'[2]Deloitte Forecast Input Real'!A13,FALSE)</f>
        <v>83.550000000000011</v>
      </c>
      <c r="I36" s="17">
        <f>HLOOKUP("Edmonton Light",'[2]Deloitte Forecast Input Esc'!$2:$53,2+'[2]Deloitte Forecast Input Esc'!A13,FALSE)</f>
        <v>99.85</v>
      </c>
      <c r="J36" s="17">
        <f>HLOOKUP("Cromer Light",'[2]Deloitte Forecast Input Esc'!$2:$53,2+'[2]Deloitte Forecast Input Esc'!A13,FALSE)</f>
        <v>98.05</v>
      </c>
      <c r="K36" s="17">
        <f>HLOOKUP("Hardisty MSO",'[2]Deloitte Forecast Input Esc'!$2:$53,2+'[2]Deloitte Forecast Input Esc'!A13,FALSE)</f>
        <v>95.050000000000011</v>
      </c>
      <c r="L36" s="17">
        <f>HLOOKUP("Hardisty Bow River",'[2]Deloitte Forecast Input Esc'!$2:$53,2+'[2]Deloitte Forecast Input Esc'!A13,FALSE)</f>
        <v>83.699999999999989</v>
      </c>
      <c r="M36" s="17">
        <f>HLOOKUP("Hardisty WCS",'[2]Deloitte Forecast Input Esc'!$2:$53,2+'[2]Deloitte Forecast Input Esc'!A13,FALSE)</f>
        <v>80.75</v>
      </c>
      <c r="N36" s="17">
        <f>HLOOKUP("Hardisty Heavy",'[2]Deloitte Forecast Input Esc'!$2:$53,2+'[2]Deloitte Forecast Input Esc'!A13,FALSE)</f>
        <v>75.95</v>
      </c>
      <c r="O36" s="17">
        <f>HLOOKUP("Synbit AWB",'[2]Deloitte Forecast Input Esc'!$2:$53,2+'[2]Deloitte Forecast Input Esc'!A13,FALSE)</f>
        <v>83.100000000000009</v>
      </c>
      <c r="P36" s="36">
        <f>HLOOKUP("Sarnia Refinery",'[2]Deloitte Forecast Input Esc'!$2:$53,2+'[2]Deloitte Forecast Input Esc'!A13,FALSE)</f>
        <v>107</v>
      </c>
      <c r="Q36" s="38">
        <f>HLOOKUP("Ontario Dawn",'[2]Deloitte Forecast Input Esc'!$2:$53,2+'[2]Deloitte Forecast Input Esc'!A13,FALSE)</f>
        <v>6</v>
      </c>
    </row>
    <row r="37" spans="1:17" x14ac:dyDescent="0.2">
      <c r="A37" s="11"/>
      <c r="B37" s="16">
        <f t="shared" si="2"/>
        <v>2027</v>
      </c>
      <c r="C37" s="13">
        <f>HLOOKUP("Price Inflation",'[2]Deloitte Forecast Input Esc'!$2:$53,2+'[2]Deloitte Forecast Input Esc'!A14,FALSE)</f>
        <v>0.02</v>
      </c>
      <c r="D37" s="13">
        <f>HLOOKUP("Price Inflation",'[2]Deloitte Forecast Input Esc'!$2:$53,2+'[2]Deloitte Forecast Input Esc'!A14,FALSE)</f>
        <v>0.02</v>
      </c>
      <c r="E37" s="31">
        <f>HLOOKUP("Canadian Dollar",'[2]Deloitte Forecast Input Esc'!$2:$53,2+'[2]Deloitte Forecast Input Esc'!A14,FALSE)</f>
        <v>0.85</v>
      </c>
      <c r="F37" s="32">
        <f>HLOOKUP("WTI",'[2]Deloitte Forecast Input Real'!$2:$53,2+'[2]Deloitte Forecast Input Real'!A14,FALSE)</f>
        <v>75</v>
      </c>
      <c r="G37" s="17">
        <f>HLOOKUP("WTI",'[2]Deloitte Forecast Input Esc'!$2:$53,2+'[2]Deloitte Forecast Input Esc'!A14,FALSE)</f>
        <v>91.4</v>
      </c>
      <c r="H37" s="17">
        <f>HLOOKUP("Edmonton Light",'[2]Deloitte Forecast Input Real'!$2:$53,2+'[2]Deloitte Forecast Input Real'!A14,FALSE)</f>
        <v>83.550000000000011</v>
      </c>
      <c r="I37" s="17">
        <f>HLOOKUP("Edmonton Light",'[2]Deloitte Forecast Input Esc'!$2:$53,2+'[2]Deloitte Forecast Input Esc'!A14,FALSE)</f>
        <v>101.85000000000001</v>
      </c>
      <c r="J37" s="17">
        <f>HLOOKUP("Cromer Light",'[2]Deloitte Forecast Input Esc'!$2:$53,2+'[2]Deloitte Forecast Input Esc'!A14,FALSE)</f>
        <v>100</v>
      </c>
      <c r="K37" s="17">
        <f>HLOOKUP("Hardisty MSO",'[2]Deloitte Forecast Input Esc'!$2:$53,2+'[2]Deloitte Forecast Input Esc'!A14,FALSE)</f>
        <v>96.95</v>
      </c>
      <c r="L37" s="17">
        <f>HLOOKUP("Hardisty Bow River",'[2]Deloitte Forecast Input Esc'!$2:$53,2+'[2]Deloitte Forecast Input Esc'!A14,FALSE)</f>
        <v>85.399999999999991</v>
      </c>
      <c r="M37" s="17">
        <f>HLOOKUP("Hardisty WCS",'[2]Deloitte Forecast Input Esc'!$2:$53,2+'[2]Deloitte Forecast Input Esc'!A14,FALSE)</f>
        <v>82.35</v>
      </c>
      <c r="N37" s="17">
        <f>HLOOKUP("Hardisty Heavy",'[2]Deloitte Forecast Input Esc'!$2:$53,2+'[2]Deloitte Forecast Input Esc'!A14,FALSE)</f>
        <v>77.45</v>
      </c>
      <c r="O37" s="17">
        <f>HLOOKUP("Synbit AWB",'[2]Deloitte Forecast Input Esc'!$2:$53,2+'[2]Deloitte Forecast Input Esc'!A14,FALSE)</f>
        <v>84.800000000000011</v>
      </c>
      <c r="P37" s="36">
        <f>HLOOKUP("Sarnia Refinery",'[2]Deloitte Forecast Input Esc'!$2:$53,2+'[2]Deloitte Forecast Input Esc'!A14,FALSE)</f>
        <v>109.14999999999999</v>
      </c>
      <c r="Q37" s="38">
        <f>HLOOKUP("Ontario Dawn",'[2]Deloitte Forecast Input Esc'!$2:$53,2+'[2]Deloitte Forecast Input Esc'!A14,FALSE)</f>
        <v>6.15</v>
      </c>
    </row>
    <row r="38" spans="1:17" x14ac:dyDescent="0.2">
      <c r="A38" s="11"/>
      <c r="B38" s="16">
        <f t="shared" si="2"/>
        <v>2028</v>
      </c>
      <c r="C38" s="13">
        <f>HLOOKUP("Price Inflation",'[2]Deloitte Forecast Input Esc'!$2:$53,2+'[2]Deloitte Forecast Input Esc'!A15,FALSE)</f>
        <v>0.02</v>
      </c>
      <c r="D38" s="13">
        <f>HLOOKUP("Price Inflation",'[2]Deloitte Forecast Input Esc'!$2:$53,2+'[2]Deloitte Forecast Input Esc'!A15,FALSE)</f>
        <v>0.02</v>
      </c>
      <c r="E38" s="31">
        <f>HLOOKUP("Canadian Dollar",'[2]Deloitte Forecast Input Esc'!$2:$53,2+'[2]Deloitte Forecast Input Esc'!A15,FALSE)</f>
        <v>0.85</v>
      </c>
      <c r="F38" s="32">
        <f>HLOOKUP("WTI",'[2]Deloitte Forecast Input Real'!$2:$53,2+'[2]Deloitte Forecast Input Real'!A15,FALSE)</f>
        <v>75</v>
      </c>
      <c r="G38" s="17">
        <f>HLOOKUP("WTI",'[2]Deloitte Forecast Input Esc'!$2:$53,2+'[2]Deloitte Forecast Input Esc'!A15,FALSE)</f>
        <v>93.25</v>
      </c>
      <c r="H38" s="17">
        <f>HLOOKUP("Edmonton Light",'[2]Deloitte Forecast Input Real'!$2:$53,2+'[2]Deloitte Forecast Input Real'!A15,FALSE)</f>
        <v>83.550000000000011</v>
      </c>
      <c r="I38" s="17">
        <f>HLOOKUP("Edmonton Light",'[2]Deloitte Forecast Input Esc'!$2:$53,2+'[2]Deloitte Forecast Input Esc'!A15,FALSE)</f>
        <v>103.9</v>
      </c>
      <c r="J38" s="17">
        <f>HLOOKUP("Cromer Light",'[2]Deloitte Forecast Input Esc'!$2:$53,2+'[2]Deloitte Forecast Input Esc'!A15,FALSE)</f>
        <v>102</v>
      </c>
      <c r="K38" s="17">
        <f>HLOOKUP("Hardisty MSO",'[2]Deloitte Forecast Input Esc'!$2:$53,2+'[2]Deloitte Forecast Input Esc'!A15,FALSE)</f>
        <v>98.9</v>
      </c>
      <c r="L38" s="17">
        <f>HLOOKUP("Hardisty Bow River",'[2]Deloitte Forecast Input Esc'!$2:$53,2+'[2]Deloitte Forecast Input Esc'!A15,FALSE)</f>
        <v>87.100000000000009</v>
      </c>
      <c r="M38" s="17">
        <f>HLOOKUP("Hardisty WCS",'[2]Deloitte Forecast Input Esc'!$2:$53,2+'[2]Deloitte Forecast Input Esc'!A15,FALSE)</f>
        <v>84</v>
      </c>
      <c r="N38" s="17">
        <f>HLOOKUP("Hardisty Heavy",'[2]Deloitte Forecast Input Esc'!$2:$53,2+'[2]Deloitte Forecast Input Esc'!A15,FALSE)</f>
        <v>79</v>
      </c>
      <c r="O38" s="17">
        <f>HLOOKUP("Synbit AWB",'[2]Deloitte Forecast Input Esc'!$2:$53,2+'[2]Deloitte Forecast Input Esc'!A15,FALSE)</f>
        <v>86.5</v>
      </c>
      <c r="P38" s="36">
        <f>HLOOKUP("Sarnia Refinery",'[2]Deloitte Forecast Input Esc'!$2:$53,2+'[2]Deloitte Forecast Input Esc'!A15,FALSE)</f>
        <v>111.35</v>
      </c>
      <c r="Q38" s="38">
        <f>HLOOKUP("Ontario Dawn",'[2]Deloitte Forecast Input Esc'!$2:$53,2+'[2]Deloitte Forecast Input Esc'!A15,FALSE)</f>
        <v>6.3</v>
      </c>
    </row>
    <row r="39" spans="1:17" x14ac:dyDescent="0.2">
      <c r="A39" s="11"/>
      <c r="B39" s="16">
        <f t="shared" si="2"/>
        <v>2029</v>
      </c>
      <c r="C39" s="13">
        <f>HLOOKUP("Price Inflation",'[2]Deloitte Forecast Input Esc'!$2:$53,2+'[2]Deloitte Forecast Input Esc'!A16,FALSE)</f>
        <v>0.02</v>
      </c>
      <c r="D39" s="13">
        <f>HLOOKUP("Price Inflation",'[2]Deloitte Forecast Input Esc'!$2:$53,2+'[2]Deloitte Forecast Input Esc'!A16,FALSE)</f>
        <v>0.02</v>
      </c>
      <c r="E39" s="31">
        <f>HLOOKUP("Canadian Dollar",'[2]Deloitte Forecast Input Esc'!$2:$53,2+'[2]Deloitte Forecast Input Esc'!A16,FALSE)</f>
        <v>0.85</v>
      </c>
      <c r="F39" s="32">
        <f>HLOOKUP("WTI",'[2]Deloitte Forecast Input Real'!$2:$53,2+'[2]Deloitte Forecast Input Real'!A16,FALSE)</f>
        <v>75</v>
      </c>
      <c r="G39" s="17">
        <f>HLOOKUP("WTI",'[2]Deloitte Forecast Input Esc'!$2:$53,2+'[2]Deloitte Forecast Input Esc'!A16,FALSE)</f>
        <v>95.1</v>
      </c>
      <c r="H39" s="17">
        <f>HLOOKUP("Edmonton Light",'[2]Deloitte Forecast Input Real'!$2:$53,2+'[2]Deloitte Forecast Input Real'!A16,FALSE)</f>
        <v>83.550000000000011</v>
      </c>
      <c r="I39" s="17">
        <f>HLOOKUP("Edmonton Light",'[2]Deloitte Forecast Input Esc'!$2:$53,2+'[2]Deloitte Forecast Input Esc'!A16,FALSE)</f>
        <v>105.95</v>
      </c>
      <c r="J39" s="17">
        <f>HLOOKUP("Cromer Light",'[2]Deloitte Forecast Input Esc'!$2:$53,2+'[2]Deloitte Forecast Input Esc'!A16,FALSE)</f>
        <v>104.05</v>
      </c>
      <c r="K39" s="17">
        <f>HLOOKUP("Hardisty MSO",'[2]Deloitte Forecast Input Esc'!$2:$53,2+'[2]Deloitte Forecast Input Esc'!A16,FALSE)</f>
        <v>100.9</v>
      </c>
      <c r="L39" s="17">
        <f>HLOOKUP("Hardisty Bow River",'[2]Deloitte Forecast Input Esc'!$2:$53,2+'[2]Deloitte Forecast Input Esc'!A16,FALSE)</f>
        <v>88.85</v>
      </c>
      <c r="M39" s="17">
        <f>HLOOKUP("Hardisty WCS",'[2]Deloitte Forecast Input Esc'!$2:$53,2+'[2]Deloitte Forecast Input Esc'!A16,FALSE)</f>
        <v>85.649999999999991</v>
      </c>
      <c r="N39" s="17">
        <f>HLOOKUP("Hardisty Heavy",'[2]Deloitte Forecast Input Esc'!$2:$53,2+'[2]Deloitte Forecast Input Esc'!A16,FALSE)</f>
        <v>80.600000000000009</v>
      </c>
      <c r="O39" s="17">
        <f>HLOOKUP("Synbit AWB",'[2]Deloitte Forecast Input Esc'!$2:$53,2+'[2]Deloitte Forecast Input Esc'!A16,FALSE)</f>
        <v>88.2</v>
      </c>
      <c r="P39" s="36">
        <f>HLOOKUP("Sarnia Refinery",'[2]Deloitte Forecast Input Esc'!$2:$53,2+'[2]Deloitte Forecast Input Esc'!A16,FALSE)</f>
        <v>113.55000000000001</v>
      </c>
      <c r="Q39" s="38">
        <f>HLOOKUP("Ontario Dawn",'[2]Deloitte Forecast Input Esc'!$2:$53,2+'[2]Deloitte Forecast Input Esc'!A16,FALSE)</f>
        <v>6.4</v>
      </c>
    </row>
    <row r="40" spans="1:17" x14ac:dyDescent="0.2">
      <c r="A40" s="11"/>
      <c r="B40" s="16">
        <f t="shared" si="2"/>
        <v>2030</v>
      </c>
      <c r="C40" s="13">
        <f>HLOOKUP("Price Inflation",'[2]Deloitte Forecast Input Esc'!$2:$53,2+'[2]Deloitte Forecast Input Esc'!A17,FALSE)</f>
        <v>0.02</v>
      </c>
      <c r="D40" s="13">
        <f>HLOOKUP("Price Inflation",'[2]Deloitte Forecast Input Esc'!$2:$53,2+'[2]Deloitte Forecast Input Esc'!A17,FALSE)</f>
        <v>0.02</v>
      </c>
      <c r="E40" s="31">
        <f>HLOOKUP("Canadian Dollar",'[2]Deloitte Forecast Input Esc'!$2:$53,2+'[2]Deloitte Forecast Input Esc'!A17,FALSE)</f>
        <v>0.85</v>
      </c>
      <c r="F40" s="32">
        <f>HLOOKUP("WTI",'[2]Deloitte Forecast Input Real'!$2:$53,2+'[2]Deloitte Forecast Input Real'!A17,FALSE)</f>
        <v>75</v>
      </c>
      <c r="G40" s="17">
        <f>HLOOKUP("WTI",'[2]Deloitte Forecast Input Esc'!$2:$53,2+'[2]Deloitte Forecast Input Esc'!A17,FALSE)</f>
        <v>97</v>
      </c>
      <c r="H40" s="17">
        <f>HLOOKUP("Edmonton Light",'[2]Deloitte Forecast Input Real'!$2:$53,2+'[2]Deloitte Forecast Input Real'!A17,FALSE)</f>
        <v>83.550000000000011</v>
      </c>
      <c r="I40" s="17">
        <f>HLOOKUP("Edmonton Light",'[2]Deloitte Forecast Input Esc'!$2:$53,2+'[2]Deloitte Forecast Input Esc'!A17,FALSE)</f>
        <v>108.10000000000001</v>
      </c>
      <c r="J40" s="17">
        <f>HLOOKUP("Cromer Light",'[2]Deloitte Forecast Input Esc'!$2:$53,2+'[2]Deloitte Forecast Input Esc'!A17,FALSE)</f>
        <v>106.15</v>
      </c>
      <c r="K40" s="17">
        <f>HLOOKUP("Hardisty MSO",'[2]Deloitte Forecast Input Esc'!$2:$53,2+'[2]Deloitte Forecast Input Esc'!A17,FALSE)</f>
        <v>102.89999999999999</v>
      </c>
      <c r="L40" s="17">
        <f>HLOOKUP("Hardisty Bow River",'[2]Deloitte Forecast Input Esc'!$2:$53,2+'[2]Deloitte Forecast Input Esc'!A17,FALSE)</f>
        <v>90.600000000000009</v>
      </c>
      <c r="M40" s="17">
        <f>HLOOKUP("Hardisty WCS",'[2]Deloitte Forecast Input Esc'!$2:$53,2+'[2]Deloitte Forecast Input Esc'!A17,FALSE)</f>
        <v>87.4</v>
      </c>
      <c r="N40" s="17">
        <f>HLOOKUP("Hardisty Heavy",'[2]Deloitte Forecast Input Esc'!$2:$53,2+'[2]Deloitte Forecast Input Esc'!A17,FALSE)</f>
        <v>82.2</v>
      </c>
      <c r="O40" s="17">
        <f>HLOOKUP("Synbit AWB",'[2]Deloitte Forecast Input Esc'!$2:$53,2+'[2]Deloitte Forecast Input Esc'!A17,FALSE)</f>
        <v>89.949999999999989</v>
      </c>
      <c r="P40" s="36">
        <f>HLOOKUP("Sarnia Refinery",'[2]Deloitte Forecast Input Esc'!$2:$53,2+'[2]Deloitte Forecast Input Esc'!A17,FALSE)</f>
        <v>115.85000000000001</v>
      </c>
      <c r="Q40" s="38">
        <f>HLOOKUP("Ontario Dawn",'[2]Deloitte Forecast Input Esc'!$2:$53,2+'[2]Deloitte Forecast Input Esc'!A17,FALSE)</f>
        <v>6.5500000000000007</v>
      </c>
    </row>
    <row r="41" spans="1:17" x14ac:dyDescent="0.2">
      <c r="A41" s="11"/>
      <c r="B41" s="16">
        <f t="shared" si="2"/>
        <v>2031</v>
      </c>
      <c r="C41" s="13">
        <f>HLOOKUP("Price Inflation",'[2]Deloitte Forecast Input Esc'!$2:$53,2+'[2]Deloitte Forecast Input Esc'!A18,FALSE)</f>
        <v>0.02</v>
      </c>
      <c r="D41" s="13">
        <f>HLOOKUP("Price Inflation",'[2]Deloitte Forecast Input Esc'!$2:$53,2+'[2]Deloitte Forecast Input Esc'!A18,FALSE)</f>
        <v>0.02</v>
      </c>
      <c r="E41" s="31">
        <f>HLOOKUP("Canadian Dollar",'[2]Deloitte Forecast Input Esc'!$2:$53,2+'[2]Deloitte Forecast Input Esc'!A18,FALSE)</f>
        <v>0.85</v>
      </c>
      <c r="F41" s="32">
        <f>HLOOKUP("WTI",'[2]Deloitte Forecast Input Real'!$2:$53,2+'[2]Deloitte Forecast Input Real'!A18,FALSE)</f>
        <v>75</v>
      </c>
      <c r="G41" s="17">
        <f>HLOOKUP("WTI",'[2]Deloitte Forecast Input Esc'!$2:$53,2+'[2]Deloitte Forecast Input Esc'!A18,FALSE)</f>
        <v>98.949999999999989</v>
      </c>
      <c r="H41" s="17">
        <f>HLOOKUP("Edmonton Light",'[2]Deloitte Forecast Input Real'!$2:$53,2+'[2]Deloitte Forecast Input Real'!A18,FALSE)</f>
        <v>83.550000000000011</v>
      </c>
      <c r="I41" s="17">
        <f>HLOOKUP("Edmonton Light",'[2]Deloitte Forecast Input Esc'!$2:$53,2+'[2]Deloitte Forecast Input Esc'!A18,FALSE)</f>
        <v>110.25</v>
      </c>
      <c r="J41" s="17">
        <f>HLOOKUP("Cromer Light",'[2]Deloitte Forecast Input Esc'!$2:$53,2+'[2]Deloitte Forecast Input Esc'!A18,FALSE)</f>
        <v>108.25</v>
      </c>
      <c r="K41" s="17">
        <f>HLOOKUP("Hardisty MSO",'[2]Deloitte Forecast Input Esc'!$2:$53,2+'[2]Deloitte Forecast Input Esc'!A18,FALSE)</f>
        <v>104.94999999999999</v>
      </c>
      <c r="L41" s="17">
        <f>HLOOKUP("Hardisty Bow River",'[2]Deloitte Forecast Input Esc'!$2:$53,2+'[2]Deloitte Forecast Input Esc'!A18,FALSE)</f>
        <v>92.449999999999989</v>
      </c>
      <c r="M41" s="17">
        <f>HLOOKUP("Hardisty WCS",'[2]Deloitte Forecast Input Esc'!$2:$53,2+'[2]Deloitte Forecast Input Esc'!A18,FALSE)</f>
        <v>89.149999999999991</v>
      </c>
      <c r="N41" s="17">
        <f>HLOOKUP("Hardisty Heavy",'[2]Deloitte Forecast Input Esc'!$2:$53,2+'[2]Deloitte Forecast Input Esc'!A18,FALSE)</f>
        <v>83.85</v>
      </c>
      <c r="O41" s="17">
        <f>HLOOKUP("Synbit AWB",'[2]Deloitte Forecast Input Esc'!$2:$53,2+'[2]Deloitte Forecast Input Esc'!A18,FALSE)</f>
        <v>91.75</v>
      </c>
      <c r="P41" s="36">
        <f>HLOOKUP("Sarnia Refinery",'[2]Deloitte Forecast Input Esc'!$2:$53,2+'[2]Deloitte Forecast Input Esc'!A18,FALSE)</f>
        <v>118.14999999999999</v>
      </c>
      <c r="Q41" s="38">
        <f>HLOOKUP("Ontario Dawn",'[2]Deloitte Forecast Input Esc'!$2:$53,2+'[2]Deloitte Forecast Input Esc'!A18,FALSE)</f>
        <v>6.65</v>
      </c>
    </row>
    <row r="42" spans="1:17" x14ac:dyDescent="0.2">
      <c r="A42" s="11"/>
      <c r="B42" s="16">
        <f t="shared" si="2"/>
        <v>2032</v>
      </c>
      <c r="C42" s="13">
        <f>HLOOKUP("Price Inflation",'[2]Deloitte Forecast Input Esc'!$2:$53,2+'[2]Deloitte Forecast Input Esc'!A19,FALSE)</f>
        <v>0.02</v>
      </c>
      <c r="D42" s="13">
        <f>HLOOKUP("Price Inflation",'[2]Deloitte Forecast Input Esc'!$2:$53,2+'[2]Deloitte Forecast Input Esc'!A19,FALSE)</f>
        <v>0.02</v>
      </c>
      <c r="E42" s="31">
        <f>HLOOKUP("Canadian Dollar",'[2]Deloitte Forecast Input Esc'!$2:$53,2+'[2]Deloitte Forecast Input Esc'!A19,FALSE)</f>
        <v>0.85</v>
      </c>
      <c r="F42" s="32">
        <f>HLOOKUP("WTI",'[2]Deloitte Forecast Input Real'!$2:$53,2+'[2]Deloitte Forecast Input Real'!A19,FALSE)</f>
        <v>75</v>
      </c>
      <c r="G42" s="17">
        <f>HLOOKUP("WTI",'[2]Deloitte Forecast Input Esc'!$2:$53,2+'[2]Deloitte Forecast Input Esc'!A19,FALSE)</f>
        <v>100.95</v>
      </c>
      <c r="H42" s="17">
        <f>HLOOKUP("Edmonton Light",'[2]Deloitte Forecast Input Real'!$2:$53,2+'[2]Deloitte Forecast Input Real'!A19,FALSE)</f>
        <v>83.550000000000011</v>
      </c>
      <c r="I42" s="17">
        <f>HLOOKUP("Edmonton Light",'[2]Deloitte Forecast Input Esc'!$2:$53,2+'[2]Deloitte Forecast Input Esc'!A19,FALSE)</f>
        <v>112.44999999999999</v>
      </c>
      <c r="J42" s="17">
        <f>HLOOKUP("Cromer Light",'[2]Deloitte Forecast Input Esc'!$2:$53,2+'[2]Deloitte Forecast Input Esc'!A19,FALSE)</f>
        <v>110.45</v>
      </c>
      <c r="K42" s="17">
        <f>HLOOKUP("Hardisty MSO",'[2]Deloitte Forecast Input Esc'!$2:$53,2+'[2]Deloitte Forecast Input Esc'!A19,FALSE)</f>
        <v>107.05</v>
      </c>
      <c r="L42" s="17">
        <f>HLOOKUP("Hardisty Bow River",'[2]Deloitte Forecast Input Esc'!$2:$53,2+'[2]Deloitte Forecast Input Esc'!A19,FALSE)</f>
        <v>94.3</v>
      </c>
      <c r="M42" s="17">
        <f>HLOOKUP("Hardisty WCS",'[2]Deloitte Forecast Input Esc'!$2:$53,2+'[2]Deloitte Forecast Input Esc'!A19,FALSE)</f>
        <v>90.9</v>
      </c>
      <c r="N42" s="17">
        <f>HLOOKUP("Hardisty Heavy",'[2]Deloitte Forecast Input Esc'!$2:$53,2+'[2]Deloitte Forecast Input Esc'!A19,FALSE)</f>
        <v>85.55</v>
      </c>
      <c r="O42" s="17">
        <f>HLOOKUP("Synbit AWB",'[2]Deloitte Forecast Input Esc'!$2:$53,2+'[2]Deloitte Forecast Input Esc'!A19,FALSE)</f>
        <v>93.6</v>
      </c>
      <c r="P42" s="36">
        <f>HLOOKUP("Sarnia Refinery",'[2]Deloitte Forecast Input Esc'!$2:$53,2+'[2]Deloitte Forecast Input Esc'!A19,FALSE)</f>
        <v>120.5</v>
      </c>
      <c r="Q42" s="38">
        <f>HLOOKUP("Ontario Dawn",'[2]Deloitte Forecast Input Esc'!$2:$53,2+'[2]Deloitte Forecast Input Esc'!A19,FALSE)</f>
        <v>6.8000000000000007</v>
      </c>
    </row>
    <row r="43" spans="1:17" x14ac:dyDescent="0.2">
      <c r="A43" s="11"/>
      <c r="B43" s="16">
        <f t="shared" si="2"/>
        <v>2033</v>
      </c>
      <c r="C43" s="13">
        <f>HLOOKUP("Price Inflation",'[2]Deloitte Forecast Input Esc'!$2:$53,2+'[2]Deloitte Forecast Input Esc'!A20,FALSE)</f>
        <v>0.02</v>
      </c>
      <c r="D43" s="13">
        <f>HLOOKUP("Price Inflation",'[2]Deloitte Forecast Input Esc'!$2:$53,2+'[2]Deloitte Forecast Input Esc'!A20,FALSE)</f>
        <v>0.02</v>
      </c>
      <c r="E43" s="31">
        <f>HLOOKUP("Canadian Dollar",'[2]Deloitte Forecast Input Esc'!$2:$53,2+'[2]Deloitte Forecast Input Esc'!A20,FALSE)</f>
        <v>0.85</v>
      </c>
      <c r="F43" s="32">
        <f>HLOOKUP("WTI",'[2]Deloitte Forecast Input Real'!$2:$53,2+'[2]Deloitte Forecast Input Real'!A20,FALSE)</f>
        <v>75</v>
      </c>
      <c r="G43" s="17">
        <f>HLOOKUP("WTI",'[2]Deloitte Forecast Input Esc'!$2:$53,2+'[2]Deloitte Forecast Input Esc'!A20,FALSE)</f>
        <v>102.95</v>
      </c>
      <c r="H43" s="17">
        <f>HLOOKUP("Edmonton Light",'[2]Deloitte Forecast Input Real'!$2:$53,2+'[2]Deloitte Forecast Input Real'!A20,FALSE)</f>
        <v>83.550000000000011</v>
      </c>
      <c r="I43" s="17">
        <f>HLOOKUP("Edmonton Light",'[2]Deloitte Forecast Input Esc'!$2:$53,2+'[2]Deloitte Forecast Input Esc'!A20,FALSE)</f>
        <v>114.7</v>
      </c>
      <c r="J43" s="17">
        <f>HLOOKUP("Cromer Light",'[2]Deloitte Forecast Input Esc'!$2:$53,2+'[2]Deloitte Forecast Input Esc'!A20,FALSE)</f>
        <v>112.65</v>
      </c>
      <c r="K43" s="17">
        <f>HLOOKUP("Hardisty MSO",'[2]Deloitte Forecast Input Esc'!$2:$53,2+'[2]Deloitte Forecast Input Esc'!A20,FALSE)</f>
        <v>109.2</v>
      </c>
      <c r="L43" s="17">
        <f>HLOOKUP("Hardisty Bow River",'[2]Deloitte Forecast Input Esc'!$2:$53,2+'[2]Deloitte Forecast Input Esc'!A20,FALSE)</f>
        <v>96.15</v>
      </c>
      <c r="M43" s="17">
        <f>HLOOKUP("Hardisty WCS",'[2]Deloitte Forecast Input Esc'!$2:$53,2+'[2]Deloitte Forecast Input Esc'!A20,FALSE)</f>
        <v>92.75</v>
      </c>
      <c r="N43" s="17">
        <f>HLOOKUP("Hardisty Heavy",'[2]Deloitte Forecast Input Esc'!$2:$53,2+'[2]Deloitte Forecast Input Esc'!A20,FALSE)</f>
        <v>87.25</v>
      </c>
      <c r="O43" s="17">
        <f>HLOOKUP("Synbit AWB",'[2]Deloitte Forecast Input Esc'!$2:$53,2+'[2]Deloitte Forecast Input Esc'!A20,FALSE)</f>
        <v>95.5</v>
      </c>
      <c r="P43" s="36">
        <f>HLOOKUP("Sarnia Refinery",'[2]Deloitte Forecast Input Esc'!$2:$53,2+'[2]Deloitte Forecast Input Esc'!A20,FALSE)</f>
        <v>122.95</v>
      </c>
      <c r="Q43" s="38">
        <f>HLOOKUP("Ontario Dawn",'[2]Deloitte Forecast Input Esc'!$2:$53,2+'[2]Deloitte Forecast Input Esc'!A20,FALSE)</f>
        <v>6.9499999999999993</v>
      </c>
    </row>
    <row r="44" spans="1:17" x14ac:dyDescent="0.2">
      <c r="A44" s="11"/>
      <c r="B44" s="16">
        <f t="shared" si="2"/>
        <v>2034</v>
      </c>
      <c r="C44" s="13">
        <f>HLOOKUP("Price Inflation",'[2]Deloitte Forecast Input Esc'!$2:$53,2+'[2]Deloitte Forecast Input Esc'!A21,FALSE)</f>
        <v>0.02</v>
      </c>
      <c r="D44" s="13">
        <f>HLOOKUP("Price Inflation",'[2]Deloitte Forecast Input Esc'!$2:$53,2+'[2]Deloitte Forecast Input Esc'!A21,FALSE)</f>
        <v>0.02</v>
      </c>
      <c r="E44" s="31">
        <f>HLOOKUP("Canadian Dollar",'[2]Deloitte Forecast Input Esc'!$2:$53,2+'[2]Deloitte Forecast Input Esc'!A21,FALSE)</f>
        <v>0.85</v>
      </c>
      <c r="F44" s="32">
        <f>HLOOKUP("WTI",'[2]Deloitte Forecast Input Real'!$2:$53,2+'[2]Deloitte Forecast Input Real'!A21,FALSE)</f>
        <v>75</v>
      </c>
      <c r="G44" s="17">
        <f>HLOOKUP("WTI",'[2]Deloitte Forecast Input Esc'!$2:$53,2+'[2]Deloitte Forecast Input Esc'!A21,FALSE)</f>
        <v>105</v>
      </c>
      <c r="H44" s="17">
        <f>HLOOKUP("Edmonton Light",'[2]Deloitte Forecast Input Real'!$2:$53,2+'[2]Deloitte Forecast Input Real'!A21,FALSE)</f>
        <v>83.550000000000011</v>
      </c>
      <c r="I44" s="17">
        <f>HLOOKUP("Edmonton Light",'[2]Deloitte Forecast Input Esc'!$2:$53,2+'[2]Deloitte Forecast Input Esc'!A21,FALSE)</f>
        <v>117</v>
      </c>
      <c r="J44" s="17">
        <f>HLOOKUP("Cromer Light",'[2]Deloitte Forecast Input Esc'!$2:$53,2+'[2]Deloitte Forecast Input Esc'!A21,FALSE)</f>
        <v>114.9</v>
      </c>
      <c r="K44" s="17">
        <f>HLOOKUP("Hardisty MSO",'[2]Deloitte Forecast Input Esc'!$2:$53,2+'[2]Deloitte Forecast Input Esc'!A21,FALSE)</f>
        <v>111.4</v>
      </c>
      <c r="L44" s="17">
        <f>HLOOKUP("Hardisty Bow River",'[2]Deloitte Forecast Input Esc'!$2:$53,2+'[2]Deloitte Forecast Input Esc'!A21,FALSE)</f>
        <v>98.100000000000009</v>
      </c>
      <c r="M44" s="17">
        <f>HLOOKUP("Hardisty WCS",'[2]Deloitte Forecast Input Esc'!$2:$53,2+'[2]Deloitte Forecast Input Esc'!A21,FALSE)</f>
        <v>94.600000000000009</v>
      </c>
      <c r="N44" s="17">
        <f>HLOOKUP("Hardisty Heavy",'[2]Deloitte Forecast Input Esc'!$2:$53,2+'[2]Deloitte Forecast Input Esc'!A21,FALSE)</f>
        <v>89</v>
      </c>
      <c r="O44" s="17">
        <f>HLOOKUP("Synbit AWB",'[2]Deloitte Forecast Input Esc'!$2:$53,2+'[2]Deloitte Forecast Input Esc'!A21,FALSE)</f>
        <v>97.4</v>
      </c>
      <c r="P44" s="36">
        <f>HLOOKUP("Sarnia Refinery",'[2]Deloitte Forecast Input Esc'!$2:$53,2+'[2]Deloitte Forecast Input Esc'!A21,FALSE)</f>
        <v>125.39999999999999</v>
      </c>
      <c r="Q44" s="38">
        <f>HLOOKUP("Ontario Dawn",'[2]Deloitte Forecast Input Esc'!$2:$53,2+'[2]Deloitte Forecast Input Esc'!A21,FALSE)</f>
        <v>7.05</v>
      </c>
    </row>
    <row r="45" spans="1:17" x14ac:dyDescent="0.2">
      <c r="A45" s="11"/>
      <c r="B45" s="16">
        <f t="shared" si="2"/>
        <v>2035</v>
      </c>
      <c r="C45" s="13">
        <f>HLOOKUP("Price Inflation",'[2]Deloitte Forecast Input Esc'!$2:$53,2+'[2]Deloitte Forecast Input Esc'!A22,FALSE)</f>
        <v>0.02</v>
      </c>
      <c r="D45" s="13">
        <f>HLOOKUP("Price Inflation",'[2]Deloitte Forecast Input Esc'!$2:$53,2+'[2]Deloitte Forecast Input Esc'!A22,FALSE)</f>
        <v>0.02</v>
      </c>
      <c r="E45" s="31">
        <f>HLOOKUP("Canadian Dollar",'[2]Deloitte Forecast Input Esc'!$2:$53,2+'[2]Deloitte Forecast Input Esc'!A22,FALSE)</f>
        <v>0.85</v>
      </c>
      <c r="F45" s="32">
        <f>HLOOKUP("WTI",'[2]Deloitte Forecast Input Real'!$2:$53,2+'[2]Deloitte Forecast Input Real'!A22,FALSE)</f>
        <v>75</v>
      </c>
      <c r="G45" s="17">
        <f>HLOOKUP("WTI",'[2]Deloitte Forecast Input Esc'!$2:$53,2+'[2]Deloitte Forecast Input Esc'!A22,FALSE)</f>
        <v>107.10000000000001</v>
      </c>
      <c r="H45" s="17">
        <f>HLOOKUP("Edmonton Light",'[2]Deloitte Forecast Input Real'!$2:$53,2+'[2]Deloitte Forecast Input Real'!A22,FALSE)</f>
        <v>83.550000000000011</v>
      </c>
      <c r="I45" s="17">
        <f>HLOOKUP("Edmonton Light",'[2]Deloitte Forecast Input Esc'!$2:$53,2+'[2]Deloitte Forecast Input Esc'!A22,FALSE)</f>
        <v>119.35000000000001</v>
      </c>
      <c r="J45" s="17">
        <f>HLOOKUP("Cromer Light",'[2]Deloitte Forecast Input Esc'!$2:$53,2+'[2]Deloitte Forecast Input Esc'!A22,FALSE)</f>
        <v>117.2</v>
      </c>
      <c r="K45" s="17">
        <f>HLOOKUP("Hardisty MSO",'[2]Deloitte Forecast Input Esc'!$2:$53,2+'[2]Deloitte Forecast Input Esc'!A22,FALSE)</f>
        <v>113.6</v>
      </c>
      <c r="L45" s="17">
        <f>HLOOKUP("Hardisty Bow River",'[2]Deloitte Forecast Input Esc'!$2:$53,2+'[2]Deloitte Forecast Input Esc'!A22,FALSE)</f>
        <v>100.05000000000001</v>
      </c>
      <c r="M45" s="17">
        <f>HLOOKUP("Hardisty WCS",'[2]Deloitte Forecast Input Esc'!$2:$53,2+'[2]Deloitte Forecast Input Esc'!A22,FALSE)</f>
        <v>96.5</v>
      </c>
      <c r="N45" s="17">
        <f>HLOOKUP("Hardisty Heavy",'[2]Deloitte Forecast Input Esc'!$2:$53,2+'[2]Deloitte Forecast Input Esc'!A22,FALSE)</f>
        <v>90.75</v>
      </c>
      <c r="O45" s="17">
        <f>HLOOKUP("Synbit AWB",'[2]Deloitte Forecast Input Esc'!$2:$53,2+'[2]Deloitte Forecast Input Esc'!A22,FALSE)</f>
        <v>99.350000000000009</v>
      </c>
      <c r="P45" s="36">
        <f>HLOOKUP("Sarnia Refinery",'[2]Deloitte Forecast Input Esc'!$2:$53,2+'[2]Deloitte Forecast Input Esc'!A22,FALSE)</f>
        <v>127.89999999999999</v>
      </c>
      <c r="Q45" s="38">
        <f>HLOOKUP("Ontario Dawn",'[2]Deloitte Forecast Input Esc'!$2:$53,2+'[2]Deloitte Forecast Input Esc'!A22,FALSE)</f>
        <v>7.1999999999999993</v>
      </c>
    </row>
    <row r="46" spans="1:17" x14ac:dyDescent="0.2">
      <c r="A46" s="11"/>
      <c r="B46" s="16">
        <f t="shared" si="2"/>
        <v>2036</v>
      </c>
      <c r="C46" s="13">
        <f>HLOOKUP("Price Inflation",'[2]Deloitte Forecast Input Esc'!$2:$53,2+'[2]Deloitte Forecast Input Esc'!A23,FALSE)</f>
        <v>0.02</v>
      </c>
      <c r="D46" s="13">
        <f>HLOOKUP("Price Inflation",'[2]Deloitte Forecast Input Esc'!$2:$53,2+'[2]Deloitte Forecast Input Esc'!A23,FALSE)</f>
        <v>0.02</v>
      </c>
      <c r="E46" s="31">
        <f>HLOOKUP("Canadian Dollar",'[2]Deloitte Forecast Input Esc'!$2:$53,2+'[2]Deloitte Forecast Input Esc'!A23,FALSE)</f>
        <v>0.85</v>
      </c>
      <c r="F46" s="32">
        <f>HLOOKUP("WTI",'[2]Deloitte Forecast Input Real'!$2:$53,2+'[2]Deloitte Forecast Input Real'!A23,FALSE)</f>
        <v>75</v>
      </c>
      <c r="G46" s="17">
        <f>HLOOKUP("WTI",'[2]Deloitte Forecast Input Esc'!$2:$53,2+'[2]Deloitte Forecast Input Esc'!A23,FALSE)</f>
        <v>109.25</v>
      </c>
      <c r="H46" s="17">
        <f>HLOOKUP("Edmonton Light",'[2]Deloitte Forecast Input Real'!$2:$53,2+'[2]Deloitte Forecast Input Real'!A23,FALSE)</f>
        <v>83.550000000000011</v>
      </c>
      <c r="I46" s="17">
        <f>HLOOKUP("Edmonton Light",'[2]Deloitte Forecast Input Esc'!$2:$53,2+'[2]Deloitte Forecast Input Esc'!A23,FALSE)</f>
        <v>121.7</v>
      </c>
      <c r="J46" s="17">
        <f>HLOOKUP("Cromer Light",'[2]Deloitte Forecast Input Esc'!$2:$53,2+'[2]Deloitte Forecast Input Esc'!A23,FALSE)</f>
        <v>119.55</v>
      </c>
      <c r="K46" s="17">
        <f>HLOOKUP("Hardisty MSO",'[2]Deloitte Forecast Input Esc'!$2:$53,2+'[2]Deloitte Forecast Input Esc'!A23,FALSE)</f>
        <v>115.9</v>
      </c>
      <c r="L46" s="17">
        <f>HLOOKUP("Hardisty Bow River",'[2]Deloitte Forecast Input Esc'!$2:$53,2+'[2]Deloitte Forecast Input Esc'!A23,FALSE)</f>
        <v>102.05</v>
      </c>
      <c r="M46" s="17">
        <f>HLOOKUP("Hardisty WCS",'[2]Deloitte Forecast Input Esc'!$2:$53,2+'[2]Deloitte Forecast Input Esc'!A23,FALSE)</f>
        <v>98.4</v>
      </c>
      <c r="N46" s="17">
        <f>HLOOKUP("Hardisty Heavy",'[2]Deloitte Forecast Input Esc'!$2:$53,2+'[2]Deloitte Forecast Input Esc'!A23,FALSE)</f>
        <v>92.6</v>
      </c>
      <c r="O46" s="17">
        <f>HLOOKUP("Synbit AWB",'[2]Deloitte Forecast Input Esc'!$2:$53,2+'[2]Deloitte Forecast Input Esc'!A23,FALSE)</f>
        <v>101.30000000000001</v>
      </c>
      <c r="P46" s="36">
        <f>HLOOKUP("Sarnia Refinery",'[2]Deloitte Forecast Input Esc'!$2:$53,2+'[2]Deloitte Forecast Input Esc'!A23,FALSE)</f>
        <v>130.44999999999999</v>
      </c>
      <c r="Q46" s="38">
        <f>HLOOKUP("Ontario Dawn",'[2]Deloitte Forecast Input Esc'!$2:$53,2+'[2]Deloitte Forecast Input Esc'!A23,FALSE)</f>
        <v>7.35</v>
      </c>
    </row>
    <row r="47" spans="1:17" x14ac:dyDescent="0.2">
      <c r="A47" s="23"/>
      <c r="B47" s="28" t="str">
        <f>B46&amp;"+"</f>
        <v>2036+</v>
      </c>
      <c r="C47" s="58">
        <f>HLOOKUP("Price Inflation",'[2]Deloitte Forecast Input Esc'!$2:$53,2+'[2]Deloitte Forecast Input Esc'!A24,FALSE)</f>
        <v>0.02</v>
      </c>
      <c r="D47" s="58">
        <f>HLOOKUP("Price Inflation",'[2]Deloitte Forecast Input Esc'!$2:$53,2+'[2]Deloitte Forecast Input Esc'!A24,FALSE)</f>
        <v>0.02</v>
      </c>
      <c r="E47" s="59">
        <f>HLOOKUP("Canadian Dollar",'[2]Deloitte Forecast Input Esc'!$2:$53,2+'[2]Deloitte Forecast Input Esc'!A24,FALSE)</f>
        <v>0.85</v>
      </c>
      <c r="F47" s="60">
        <v>0</v>
      </c>
      <c r="G47" s="58">
        <f>$C$28</f>
        <v>0.02</v>
      </c>
      <c r="H47" s="58">
        <v>0</v>
      </c>
      <c r="I47" s="58">
        <f t="shared" ref="I47:Q47" si="3">$C$28</f>
        <v>0.02</v>
      </c>
      <c r="J47" s="58">
        <f t="shared" si="3"/>
        <v>0.02</v>
      </c>
      <c r="K47" s="58">
        <f t="shared" si="3"/>
        <v>0.02</v>
      </c>
      <c r="L47" s="58">
        <f t="shared" si="3"/>
        <v>0.02</v>
      </c>
      <c r="M47" s="58">
        <f t="shared" si="3"/>
        <v>0.02</v>
      </c>
      <c r="N47" s="58">
        <f t="shared" si="3"/>
        <v>0.02</v>
      </c>
      <c r="O47" s="58">
        <f t="shared" si="3"/>
        <v>0.02</v>
      </c>
      <c r="P47" s="61">
        <f t="shared" si="3"/>
        <v>0.02</v>
      </c>
      <c r="Q47" s="62">
        <f t="shared" si="3"/>
        <v>0.02</v>
      </c>
    </row>
    <row r="48" spans="1:17" x14ac:dyDescent="0.2">
      <c r="A48" s="53"/>
      <c r="B48" s="53"/>
      <c r="C48" s="2"/>
      <c r="D48" s="2"/>
      <c r="E48" s="3"/>
      <c r="F48" s="53"/>
      <c r="G48" s="53"/>
      <c r="H48" s="53"/>
      <c r="I48" s="5"/>
      <c r="J48" s="5"/>
      <c r="K48" s="5"/>
      <c r="L48" s="53"/>
      <c r="M48" s="53"/>
      <c r="N48" s="53"/>
      <c r="O48" s="53"/>
      <c r="P48" s="53"/>
      <c r="Q48" s="53"/>
    </row>
    <row r="49" spans="1:17" x14ac:dyDescent="0.2">
      <c r="A49" s="53"/>
      <c r="B49" s="53" t="s">
        <v>64</v>
      </c>
      <c r="C49" t="str">
        <f>'[2]Front Page'!C18</f>
        <v xml:space="preserve"> - All prices are in Canadian dollars except WTI and NYMEX gas which are in U.S. dollars</v>
      </c>
      <c r="D49" s="63"/>
      <c r="E49" s="3"/>
      <c r="F49" s="53"/>
      <c r="G49" s="53"/>
      <c r="H49" s="53"/>
      <c r="I49" s="5"/>
      <c r="J49" s="5"/>
      <c r="K49" s="5"/>
      <c r="L49" s="53"/>
      <c r="M49" s="53"/>
      <c r="N49" s="53"/>
      <c r="O49" s="53"/>
      <c r="P49" s="53"/>
      <c r="Q49" s="53"/>
    </row>
    <row r="50" spans="1:17" x14ac:dyDescent="0.2">
      <c r="A50" s="53"/>
      <c r="B50" s="53"/>
      <c r="C50" t="str">
        <f>'[2]Front Page'!C19</f>
        <v xml:space="preserve"> - Edmonton city gate prices based on historical light oil par prices posted by the government of Alberta and Net Energy differential futures (40 Deg. API &lt; 0.5% Sulphur)</v>
      </c>
      <c r="D50" s="63"/>
      <c r="E50" s="3"/>
      <c r="F50" s="53"/>
      <c r="G50" s="53"/>
      <c r="H50" s="53"/>
      <c r="I50" s="5"/>
      <c r="J50" s="5"/>
      <c r="K50" s="5"/>
      <c r="L50" s="53"/>
      <c r="M50" s="53"/>
      <c r="N50" s="53"/>
      <c r="O50" s="53"/>
      <c r="P50" s="53"/>
      <c r="Q50" s="53"/>
    </row>
    <row r="51" spans="1:17" x14ac:dyDescent="0.2">
      <c r="A51" s="53"/>
      <c r="B51" s="53"/>
      <c r="C51" t="str">
        <f>'[2]Front Page'!C20</f>
        <v xml:space="preserve"> - 1 Mcf is equivalent to 1 mmbtu</v>
      </c>
      <c r="D51" s="63"/>
      <c r="E51" s="3"/>
      <c r="F51" s="53"/>
      <c r="G51" s="53"/>
      <c r="H51" s="53"/>
      <c r="I51" s="5"/>
      <c r="J51" s="5"/>
      <c r="K51" s="5"/>
      <c r="L51" s="53"/>
      <c r="M51" s="53"/>
      <c r="N51" s="53"/>
      <c r="O51" s="53"/>
      <c r="P51" s="53"/>
      <c r="Q51" s="53"/>
    </row>
    <row r="52" spans="1:17" x14ac:dyDescent="0.2">
      <c r="A52" s="53"/>
      <c r="B52" s="53"/>
      <c r="C52" t="str">
        <f>'[2]Front Page'!C21</f>
        <v xml:space="preserve"> - Real prices listed in 2016 dollars with no escalation considered</v>
      </c>
      <c r="D52" s="65"/>
      <c r="E52" s="3"/>
      <c r="F52" s="53"/>
      <c r="G52" s="53"/>
      <c r="H52" s="53"/>
      <c r="I52" s="5"/>
      <c r="J52" s="5"/>
      <c r="K52" s="5"/>
      <c r="L52" s="53"/>
      <c r="M52" s="53"/>
      <c r="N52" s="53"/>
      <c r="O52" s="53"/>
      <c r="P52" s="53"/>
      <c r="Q52" s="53"/>
    </row>
    <row r="53" spans="1:17" x14ac:dyDescent="0.2">
      <c r="A53" s="53"/>
      <c r="B53" s="53"/>
      <c r="C53" t="str">
        <f>'[2]Front Page'!C22</f>
        <v xml:space="preserve"> ‐ Sarnia price is Edmonton Sweet (MSW) delivered to Sarnia, Ontario</v>
      </c>
      <c r="D53" s="65"/>
      <c r="E53" s="3"/>
      <c r="F53" s="53"/>
      <c r="G53" s="53"/>
      <c r="H53" s="53"/>
      <c r="I53" s="5"/>
      <c r="J53" s="5"/>
      <c r="K53" s="5"/>
      <c r="L53" s="53"/>
      <c r="M53" s="53"/>
      <c r="N53" s="53"/>
      <c r="O53" s="53"/>
      <c r="P53" s="53"/>
      <c r="Q53" s="53"/>
    </row>
    <row r="54" spans="1:17" x14ac:dyDescent="0.2">
      <c r="A54" s="53"/>
      <c r="B54" s="53"/>
      <c r="C54" t="str">
        <f>'[2]Front Page'!C23</f>
        <v xml:space="preserve"> ‐ Synbit is a combined bitumin (70%) and Condensate (30%) stream equivelent to the Acces Western Blend (AWB).</v>
      </c>
      <c r="D54" s="65"/>
      <c r="E54" s="3"/>
      <c r="F54" s="53"/>
      <c r="G54" s="53"/>
      <c r="H54" s="53"/>
      <c r="I54" s="5"/>
      <c r="J54" s="5"/>
      <c r="K54" s="5"/>
      <c r="L54" s="53"/>
      <c r="M54" s="53"/>
      <c r="N54" s="53"/>
      <c r="O54" s="53"/>
      <c r="P54" s="53"/>
      <c r="Q54" s="53"/>
    </row>
    <row r="55" spans="1:17" x14ac:dyDescent="0.2">
      <c r="A55" s="53"/>
      <c r="B55" s="66"/>
      <c r="D55" s="65"/>
      <c r="E55" s="3"/>
      <c r="F55" s="53"/>
      <c r="G55" s="53"/>
      <c r="H55" s="53"/>
      <c r="I55" s="5"/>
      <c r="J55" s="5"/>
      <c r="K55" s="5"/>
      <c r="L55" s="53"/>
      <c r="M55" s="53"/>
      <c r="N55" s="53"/>
      <c r="O55" s="53"/>
      <c r="P55" s="53"/>
      <c r="Q55" s="53"/>
    </row>
    <row r="56" spans="1:17" x14ac:dyDescent="0.2">
      <c r="A56" s="53"/>
      <c r="B56" s="53"/>
      <c r="C56" s="65"/>
      <c r="D56" s="65"/>
      <c r="E56" s="3"/>
      <c r="F56" s="53"/>
      <c r="G56" s="53"/>
      <c r="H56" s="53"/>
      <c r="I56" s="5"/>
      <c r="J56" s="5"/>
      <c r="K56" s="5"/>
      <c r="L56" s="53"/>
      <c r="M56" s="53"/>
      <c r="N56" s="53"/>
      <c r="O56" s="53"/>
      <c r="P56" s="53"/>
      <c r="Q56" s="53"/>
    </row>
    <row r="57" spans="1:17" ht="12.75" customHeight="1" x14ac:dyDescent="0.2">
      <c r="A57" s="53"/>
      <c r="B57" s="116" t="s">
        <v>66</v>
      </c>
      <c r="C57" s="116"/>
      <c r="D57" s="116"/>
      <c r="E57" s="116"/>
      <c r="F57" s="116"/>
      <c r="G57" s="116"/>
      <c r="H57" s="116"/>
      <c r="I57" s="116"/>
      <c r="J57" s="116"/>
      <c r="K57" s="116"/>
      <c r="L57" s="116"/>
      <c r="M57" s="116"/>
      <c r="N57" s="116"/>
      <c r="O57" s="116"/>
      <c r="P57" s="116"/>
      <c r="Q57" s="116"/>
    </row>
    <row r="58" spans="1:17" x14ac:dyDescent="0.2">
      <c r="A58" s="53"/>
      <c r="B58" s="116"/>
      <c r="C58" s="116"/>
      <c r="D58" s="116"/>
      <c r="E58" s="116"/>
      <c r="F58" s="116"/>
      <c r="G58" s="116"/>
      <c r="H58" s="116"/>
      <c r="I58" s="116"/>
      <c r="J58" s="116"/>
      <c r="K58" s="116"/>
      <c r="L58" s="116"/>
      <c r="M58" s="116"/>
      <c r="N58" s="116"/>
      <c r="O58" s="116"/>
      <c r="P58" s="116"/>
      <c r="Q58" s="116"/>
    </row>
    <row r="59" spans="1:17" x14ac:dyDescent="0.2">
      <c r="A59" s="53"/>
      <c r="B59" s="116"/>
      <c r="C59" s="116"/>
      <c r="D59" s="116"/>
      <c r="E59" s="116"/>
      <c r="F59" s="116"/>
      <c r="G59" s="116"/>
      <c r="H59" s="116"/>
      <c r="I59" s="116"/>
      <c r="J59" s="116"/>
      <c r="K59" s="116"/>
      <c r="L59" s="116"/>
      <c r="M59" s="116"/>
      <c r="N59" s="116"/>
      <c r="O59" s="116"/>
      <c r="P59" s="116"/>
      <c r="Q59" s="116"/>
    </row>
    <row r="60" spans="1:17" x14ac:dyDescent="0.2">
      <c r="A60" s="53"/>
      <c r="B60" s="116"/>
      <c r="C60" s="116"/>
      <c r="D60" s="116"/>
      <c r="E60" s="116"/>
      <c r="F60" s="116"/>
      <c r="G60" s="116"/>
      <c r="H60" s="116"/>
      <c r="I60" s="116"/>
      <c r="J60" s="116"/>
      <c r="K60" s="116"/>
      <c r="L60" s="116"/>
      <c r="M60" s="116"/>
      <c r="N60" s="116"/>
      <c r="O60" s="116"/>
      <c r="P60" s="116"/>
      <c r="Q60" s="116"/>
    </row>
  </sheetData>
  <mergeCells count="4">
    <mergeCell ref="A1:Q1"/>
    <mergeCell ref="A2:Q2"/>
    <mergeCell ref="A3:Q3"/>
    <mergeCell ref="B57:Q60"/>
  </mergeCells>
  <pageMargins left="0.7" right="0.7" top="0.75" bottom="0.75" header="0.3" footer="0.3"/>
  <pageSetup scale="66"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400"/>
    <pageSetUpPr fitToPage="1"/>
  </sheetPr>
  <dimension ref="A1:Y72"/>
  <sheetViews>
    <sheetView zoomScale="85" zoomScaleNormal="85" workbookViewId="0">
      <selection activeCell="C56" sqref="C56"/>
    </sheetView>
  </sheetViews>
  <sheetFormatPr defaultRowHeight="12.75" x14ac:dyDescent="0.2"/>
  <cols>
    <col min="1" max="1" width="3.7109375" customWidth="1"/>
    <col min="3" max="3" width="11.42578125" customWidth="1"/>
    <col min="4" max="4" width="11.42578125" bestFit="1" customWidth="1"/>
    <col min="5" max="7" width="9.85546875" bestFit="1" customWidth="1"/>
    <col min="8" max="8" width="10.28515625" bestFit="1" customWidth="1"/>
    <col min="9" max="9" width="10.7109375" bestFit="1" customWidth="1"/>
    <col min="10" max="10" width="10.85546875" bestFit="1" customWidth="1"/>
    <col min="11" max="11" width="12.140625" bestFit="1" customWidth="1"/>
    <col min="12" max="12" width="14.140625" bestFit="1" customWidth="1"/>
    <col min="13" max="14" width="11.85546875" bestFit="1" customWidth="1"/>
    <col min="15" max="15" width="12" bestFit="1" customWidth="1"/>
    <col min="16" max="17" width="8" bestFit="1" customWidth="1"/>
    <col min="18" max="18" width="9.85546875" bestFit="1" customWidth="1"/>
    <col min="253" max="253" width="3.7109375" customWidth="1"/>
    <col min="255" max="255" width="11.42578125" customWidth="1"/>
    <col min="256" max="256" width="11" customWidth="1"/>
    <col min="260" max="260" width="10.42578125" customWidth="1"/>
    <col min="261" max="261" width="11.140625" customWidth="1"/>
    <col min="262" max="262" width="10.7109375" customWidth="1"/>
    <col min="263" max="263" width="12.42578125" customWidth="1"/>
    <col min="265" max="265" width="11.5703125" customWidth="1"/>
    <col min="266" max="266" width="11.42578125" customWidth="1"/>
    <col min="267" max="267" width="11.7109375" customWidth="1"/>
    <col min="277" max="277" width="3.85546875" customWidth="1"/>
    <col min="509" max="509" width="3.7109375" customWidth="1"/>
    <col min="511" max="511" width="11.42578125" customWidth="1"/>
    <col min="512" max="512" width="11" customWidth="1"/>
    <col min="516" max="516" width="10.42578125" customWidth="1"/>
    <col min="517" max="517" width="11.140625" customWidth="1"/>
    <col min="518" max="518" width="10.7109375" customWidth="1"/>
    <col min="519" max="519" width="12.42578125" customWidth="1"/>
    <col min="521" max="521" width="11.5703125" customWidth="1"/>
    <col min="522" max="522" width="11.42578125" customWidth="1"/>
    <col min="523" max="523" width="11.7109375" customWidth="1"/>
    <col min="533" max="533" width="3.85546875" customWidth="1"/>
    <col min="765" max="765" width="3.7109375" customWidth="1"/>
    <col min="767" max="767" width="11.42578125" customWidth="1"/>
    <col min="768" max="768" width="11" customWidth="1"/>
    <col min="772" max="772" width="10.42578125" customWidth="1"/>
    <col min="773" max="773" width="11.140625" customWidth="1"/>
    <col min="774" max="774" width="10.7109375" customWidth="1"/>
    <col min="775" max="775" width="12.42578125" customWidth="1"/>
    <col min="777" max="777" width="11.5703125" customWidth="1"/>
    <col min="778" max="778" width="11.42578125" customWidth="1"/>
    <col min="779" max="779" width="11.7109375" customWidth="1"/>
    <col min="789" max="789" width="3.85546875" customWidth="1"/>
    <col min="1021" max="1021" width="3.7109375" customWidth="1"/>
    <col min="1023" max="1023" width="11.42578125" customWidth="1"/>
    <col min="1024" max="1024" width="11" customWidth="1"/>
    <col min="1028" max="1028" width="10.42578125" customWidth="1"/>
    <col min="1029" max="1029" width="11.140625" customWidth="1"/>
    <col min="1030" max="1030" width="10.7109375" customWidth="1"/>
    <col min="1031" max="1031" width="12.42578125" customWidth="1"/>
    <col min="1033" max="1033" width="11.5703125" customWidth="1"/>
    <col min="1034" max="1034" width="11.42578125" customWidth="1"/>
    <col min="1035" max="1035" width="11.7109375" customWidth="1"/>
    <col min="1045" max="1045" width="3.85546875" customWidth="1"/>
    <col min="1277" max="1277" width="3.7109375" customWidth="1"/>
    <col min="1279" max="1279" width="11.42578125" customWidth="1"/>
    <col min="1280" max="1280" width="11" customWidth="1"/>
    <col min="1284" max="1284" width="10.42578125" customWidth="1"/>
    <col min="1285" max="1285" width="11.140625" customWidth="1"/>
    <col min="1286" max="1286" width="10.7109375" customWidth="1"/>
    <col min="1287" max="1287" width="12.42578125" customWidth="1"/>
    <col min="1289" max="1289" width="11.5703125" customWidth="1"/>
    <col min="1290" max="1290" width="11.42578125" customWidth="1"/>
    <col min="1291" max="1291" width="11.7109375" customWidth="1"/>
    <col min="1301" max="1301" width="3.85546875" customWidth="1"/>
    <col min="1533" max="1533" width="3.7109375" customWidth="1"/>
    <col min="1535" max="1535" width="11.42578125" customWidth="1"/>
    <col min="1536" max="1536" width="11" customWidth="1"/>
    <col min="1540" max="1540" width="10.42578125" customWidth="1"/>
    <col min="1541" max="1541" width="11.140625" customWidth="1"/>
    <col min="1542" max="1542" width="10.7109375" customWidth="1"/>
    <col min="1543" max="1543" width="12.42578125" customWidth="1"/>
    <col min="1545" max="1545" width="11.5703125" customWidth="1"/>
    <col min="1546" max="1546" width="11.42578125" customWidth="1"/>
    <col min="1547" max="1547" width="11.7109375" customWidth="1"/>
    <col min="1557" max="1557" width="3.85546875" customWidth="1"/>
    <col min="1789" max="1789" width="3.7109375" customWidth="1"/>
    <col min="1791" max="1791" width="11.42578125" customWidth="1"/>
    <col min="1792" max="1792" width="11" customWidth="1"/>
    <col min="1796" max="1796" width="10.42578125" customWidth="1"/>
    <col min="1797" max="1797" width="11.140625" customWidth="1"/>
    <col min="1798" max="1798" width="10.7109375" customWidth="1"/>
    <col min="1799" max="1799" width="12.42578125" customWidth="1"/>
    <col min="1801" max="1801" width="11.5703125" customWidth="1"/>
    <col min="1802" max="1802" width="11.42578125" customWidth="1"/>
    <col min="1803" max="1803" width="11.7109375" customWidth="1"/>
    <col min="1813" max="1813" width="3.85546875" customWidth="1"/>
    <col min="2045" max="2045" width="3.7109375" customWidth="1"/>
    <col min="2047" max="2047" width="11.42578125" customWidth="1"/>
    <col min="2048" max="2048" width="11" customWidth="1"/>
    <col min="2052" max="2052" width="10.42578125" customWidth="1"/>
    <col min="2053" max="2053" width="11.140625" customWidth="1"/>
    <col min="2054" max="2054" width="10.7109375" customWidth="1"/>
    <col min="2055" max="2055" width="12.42578125" customWidth="1"/>
    <col min="2057" max="2057" width="11.5703125" customWidth="1"/>
    <col min="2058" max="2058" width="11.42578125" customWidth="1"/>
    <col min="2059" max="2059" width="11.7109375" customWidth="1"/>
    <col min="2069" max="2069" width="3.85546875" customWidth="1"/>
    <col min="2301" max="2301" width="3.7109375" customWidth="1"/>
    <col min="2303" max="2303" width="11.42578125" customWidth="1"/>
    <col min="2304" max="2304" width="11" customWidth="1"/>
    <col min="2308" max="2308" width="10.42578125" customWidth="1"/>
    <col min="2309" max="2309" width="11.140625" customWidth="1"/>
    <col min="2310" max="2310" width="10.7109375" customWidth="1"/>
    <col min="2311" max="2311" width="12.42578125" customWidth="1"/>
    <col min="2313" max="2313" width="11.5703125" customWidth="1"/>
    <col min="2314" max="2314" width="11.42578125" customWidth="1"/>
    <col min="2315" max="2315" width="11.7109375" customWidth="1"/>
    <col min="2325" max="2325" width="3.85546875" customWidth="1"/>
    <col min="2557" max="2557" width="3.7109375" customWidth="1"/>
    <col min="2559" max="2559" width="11.42578125" customWidth="1"/>
    <col min="2560" max="2560" width="11" customWidth="1"/>
    <col min="2564" max="2564" width="10.42578125" customWidth="1"/>
    <col min="2565" max="2565" width="11.140625" customWidth="1"/>
    <col min="2566" max="2566" width="10.7109375" customWidth="1"/>
    <col min="2567" max="2567" width="12.42578125" customWidth="1"/>
    <col min="2569" max="2569" width="11.5703125" customWidth="1"/>
    <col min="2570" max="2570" width="11.42578125" customWidth="1"/>
    <col min="2571" max="2571" width="11.7109375" customWidth="1"/>
    <col min="2581" max="2581" width="3.85546875" customWidth="1"/>
    <col min="2813" max="2813" width="3.7109375" customWidth="1"/>
    <col min="2815" max="2815" width="11.42578125" customWidth="1"/>
    <col min="2816" max="2816" width="11" customWidth="1"/>
    <col min="2820" max="2820" width="10.42578125" customWidth="1"/>
    <col min="2821" max="2821" width="11.140625" customWidth="1"/>
    <col min="2822" max="2822" width="10.7109375" customWidth="1"/>
    <col min="2823" max="2823" width="12.42578125" customWidth="1"/>
    <col min="2825" max="2825" width="11.5703125" customWidth="1"/>
    <col min="2826" max="2826" width="11.42578125" customWidth="1"/>
    <col min="2827" max="2827" width="11.7109375" customWidth="1"/>
    <col min="2837" max="2837" width="3.85546875" customWidth="1"/>
    <col min="3069" max="3069" width="3.7109375" customWidth="1"/>
    <col min="3071" max="3071" width="11.42578125" customWidth="1"/>
    <col min="3072" max="3072" width="11" customWidth="1"/>
    <col min="3076" max="3076" width="10.42578125" customWidth="1"/>
    <col min="3077" max="3077" width="11.140625" customWidth="1"/>
    <col min="3078" max="3078" width="10.7109375" customWidth="1"/>
    <col min="3079" max="3079" width="12.42578125" customWidth="1"/>
    <col min="3081" max="3081" width="11.5703125" customWidth="1"/>
    <col min="3082" max="3082" width="11.42578125" customWidth="1"/>
    <col min="3083" max="3083" width="11.7109375" customWidth="1"/>
    <col min="3093" max="3093" width="3.85546875" customWidth="1"/>
    <col min="3325" max="3325" width="3.7109375" customWidth="1"/>
    <col min="3327" max="3327" width="11.42578125" customWidth="1"/>
    <col min="3328" max="3328" width="11" customWidth="1"/>
    <col min="3332" max="3332" width="10.42578125" customWidth="1"/>
    <col min="3333" max="3333" width="11.140625" customWidth="1"/>
    <col min="3334" max="3334" width="10.7109375" customWidth="1"/>
    <col min="3335" max="3335" width="12.42578125" customWidth="1"/>
    <col min="3337" max="3337" width="11.5703125" customWidth="1"/>
    <col min="3338" max="3338" width="11.42578125" customWidth="1"/>
    <col min="3339" max="3339" width="11.7109375" customWidth="1"/>
    <col min="3349" max="3349" width="3.85546875" customWidth="1"/>
    <col min="3581" max="3581" width="3.7109375" customWidth="1"/>
    <col min="3583" max="3583" width="11.42578125" customWidth="1"/>
    <col min="3584" max="3584" width="11" customWidth="1"/>
    <col min="3588" max="3588" width="10.42578125" customWidth="1"/>
    <col min="3589" max="3589" width="11.140625" customWidth="1"/>
    <col min="3590" max="3590" width="10.7109375" customWidth="1"/>
    <col min="3591" max="3591" width="12.42578125" customWidth="1"/>
    <col min="3593" max="3593" width="11.5703125" customWidth="1"/>
    <col min="3594" max="3594" width="11.42578125" customWidth="1"/>
    <col min="3595" max="3595" width="11.7109375" customWidth="1"/>
    <col min="3605" max="3605" width="3.85546875" customWidth="1"/>
    <col min="3837" max="3837" width="3.7109375" customWidth="1"/>
    <col min="3839" max="3839" width="11.42578125" customWidth="1"/>
    <col min="3840" max="3840" width="11" customWidth="1"/>
    <col min="3844" max="3844" width="10.42578125" customWidth="1"/>
    <col min="3845" max="3845" width="11.140625" customWidth="1"/>
    <col min="3846" max="3846" width="10.7109375" customWidth="1"/>
    <col min="3847" max="3847" width="12.42578125" customWidth="1"/>
    <col min="3849" max="3849" width="11.5703125" customWidth="1"/>
    <col min="3850" max="3850" width="11.42578125" customWidth="1"/>
    <col min="3851" max="3851" width="11.7109375" customWidth="1"/>
    <col min="3861" max="3861" width="3.85546875" customWidth="1"/>
    <col min="4093" max="4093" width="3.7109375" customWidth="1"/>
    <col min="4095" max="4095" width="11.42578125" customWidth="1"/>
    <col min="4096" max="4096" width="11" customWidth="1"/>
    <col min="4100" max="4100" width="10.42578125" customWidth="1"/>
    <col min="4101" max="4101" width="11.140625" customWidth="1"/>
    <col min="4102" max="4102" width="10.7109375" customWidth="1"/>
    <col min="4103" max="4103" width="12.42578125" customWidth="1"/>
    <col min="4105" max="4105" width="11.5703125" customWidth="1"/>
    <col min="4106" max="4106" width="11.42578125" customWidth="1"/>
    <col min="4107" max="4107" width="11.7109375" customWidth="1"/>
    <col min="4117" max="4117" width="3.85546875" customWidth="1"/>
    <col min="4349" max="4349" width="3.7109375" customWidth="1"/>
    <col min="4351" max="4351" width="11.42578125" customWidth="1"/>
    <col min="4352" max="4352" width="11" customWidth="1"/>
    <col min="4356" max="4356" width="10.42578125" customWidth="1"/>
    <col min="4357" max="4357" width="11.140625" customWidth="1"/>
    <col min="4358" max="4358" width="10.7109375" customWidth="1"/>
    <col min="4359" max="4359" width="12.42578125" customWidth="1"/>
    <col min="4361" max="4361" width="11.5703125" customWidth="1"/>
    <col min="4362" max="4362" width="11.42578125" customWidth="1"/>
    <col min="4363" max="4363" width="11.7109375" customWidth="1"/>
    <col min="4373" max="4373" width="3.85546875" customWidth="1"/>
    <col min="4605" max="4605" width="3.7109375" customWidth="1"/>
    <col min="4607" max="4607" width="11.42578125" customWidth="1"/>
    <col min="4608" max="4608" width="11" customWidth="1"/>
    <col min="4612" max="4612" width="10.42578125" customWidth="1"/>
    <col min="4613" max="4613" width="11.140625" customWidth="1"/>
    <col min="4614" max="4614" width="10.7109375" customWidth="1"/>
    <col min="4615" max="4615" width="12.42578125" customWidth="1"/>
    <col min="4617" max="4617" width="11.5703125" customWidth="1"/>
    <col min="4618" max="4618" width="11.42578125" customWidth="1"/>
    <col min="4619" max="4619" width="11.7109375" customWidth="1"/>
    <col min="4629" max="4629" width="3.85546875" customWidth="1"/>
    <col min="4861" max="4861" width="3.7109375" customWidth="1"/>
    <col min="4863" max="4863" width="11.42578125" customWidth="1"/>
    <col min="4864" max="4864" width="11" customWidth="1"/>
    <col min="4868" max="4868" width="10.42578125" customWidth="1"/>
    <col min="4869" max="4869" width="11.140625" customWidth="1"/>
    <col min="4870" max="4870" width="10.7109375" customWidth="1"/>
    <col min="4871" max="4871" width="12.42578125" customWidth="1"/>
    <col min="4873" max="4873" width="11.5703125" customWidth="1"/>
    <col min="4874" max="4874" width="11.42578125" customWidth="1"/>
    <col min="4875" max="4875" width="11.7109375" customWidth="1"/>
    <col min="4885" max="4885" width="3.85546875" customWidth="1"/>
    <col min="5117" max="5117" width="3.7109375" customWidth="1"/>
    <col min="5119" max="5119" width="11.42578125" customWidth="1"/>
    <col min="5120" max="5120" width="11" customWidth="1"/>
    <col min="5124" max="5124" width="10.42578125" customWidth="1"/>
    <col min="5125" max="5125" width="11.140625" customWidth="1"/>
    <col min="5126" max="5126" width="10.7109375" customWidth="1"/>
    <col min="5127" max="5127" width="12.42578125" customWidth="1"/>
    <col min="5129" max="5129" width="11.5703125" customWidth="1"/>
    <col min="5130" max="5130" width="11.42578125" customWidth="1"/>
    <col min="5131" max="5131" width="11.7109375" customWidth="1"/>
    <col min="5141" max="5141" width="3.85546875" customWidth="1"/>
    <col min="5373" max="5373" width="3.7109375" customWidth="1"/>
    <col min="5375" max="5375" width="11.42578125" customWidth="1"/>
    <col min="5376" max="5376" width="11" customWidth="1"/>
    <col min="5380" max="5380" width="10.42578125" customWidth="1"/>
    <col min="5381" max="5381" width="11.140625" customWidth="1"/>
    <col min="5382" max="5382" width="10.7109375" customWidth="1"/>
    <col min="5383" max="5383" width="12.42578125" customWidth="1"/>
    <col min="5385" max="5385" width="11.5703125" customWidth="1"/>
    <col min="5386" max="5386" width="11.42578125" customWidth="1"/>
    <col min="5387" max="5387" width="11.7109375" customWidth="1"/>
    <col min="5397" max="5397" width="3.85546875" customWidth="1"/>
    <col min="5629" max="5629" width="3.7109375" customWidth="1"/>
    <col min="5631" max="5631" width="11.42578125" customWidth="1"/>
    <col min="5632" max="5632" width="11" customWidth="1"/>
    <col min="5636" max="5636" width="10.42578125" customWidth="1"/>
    <col min="5637" max="5637" width="11.140625" customWidth="1"/>
    <col min="5638" max="5638" width="10.7109375" customWidth="1"/>
    <col min="5639" max="5639" width="12.42578125" customWidth="1"/>
    <col min="5641" max="5641" width="11.5703125" customWidth="1"/>
    <col min="5642" max="5642" width="11.42578125" customWidth="1"/>
    <col min="5643" max="5643" width="11.7109375" customWidth="1"/>
    <col min="5653" max="5653" width="3.85546875" customWidth="1"/>
    <col min="5885" max="5885" width="3.7109375" customWidth="1"/>
    <col min="5887" max="5887" width="11.42578125" customWidth="1"/>
    <col min="5888" max="5888" width="11" customWidth="1"/>
    <col min="5892" max="5892" width="10.42578125" customWidth="1"/>
    <col min="5893" max="5893" width="11.140625" customWidth="1"/>
    <col min="5894" max="5894" width="10.7109375" customWidth="1"/>
    <col min="5895" max="5895" width="12.42578125" customWidth="1"/>
    <col min="5897" max="5897" width="11.5703125" customWidth="1"/>
    <col min="5898" max="5898" width="11.42578125" customWidth="1"/>
    <col min="5899" max="5899" width="11.7109375" customWidth="1"/>
    <col min="5909" max="5909" width="3.85546875" customWidth="1"/>
    <col min="6141" max="6141" width="3.7109375" customWidth="1"/>
    <col min="6143" max="6143" width="11.42578125" customWidth="1"/>
    <col min="6144" max="6144" width="11" customWidth="1"/>
    <col min="6148" max="6148" width="10.42578125" customWidth="1"/>
    <col min="6149" max="6149" width="11.140625" customWidth="1"/>
    <col min="6150" max="6150" width="10.7109375" customWidth="1"/>
    <col min="6151" max="6151" width="12.42578125" customWidth="1"/>
    <col min="6153" max="6153" width="11.5703125" customWidth="1"/>
    <col min="6154" max="6154" width="11.42578125" customWidth="1"/>
    <col min="6155" max="6155" width="11.7109375" customWidth="1"/>
    <col min="6165" max="6165" width="3.85546875" customWidth="1"/>
    <col min="6397" max="6397" width="3.7109375" customWidth="1"/>
    <col min="6399" max="6399" width="11.42578125" customWidth="1"/>
    <col min="6400" max="6400" width="11" customWidth="1"/>
    <col min="6404" max="6404" width="10.42578125" customWidth="1"/>
    <col min="6405" max="6405" width="11.140625" customWidth="1"/>
    <col min="6406" max="6406" width="10.7109375" customWidth="1"/>
    <col min="6407" max="6407" width="12.42578125" customWidth="1"/>
    <col min="6409" max="6409" width="11.5703125" customWidth="1"/>
    <col min="6410" max="6410" width="11.42578125" customWidth="1"/>
    <col min="6411" max="6411" width="11.7109375" customWidth="1"/>
    <col min="6421" max="6421" width="3.85546875" customWidth="1"/>
    <col min="6653" max="6653" width="3.7109375" customWidth="1"/>
    <col min="6655" max="6655" width="11.42578125" customWidth="1"/>
    <col min="6656" max="6656" width="11" customWidth="1"/>
    <col min="6660" max="6660" width="10.42578125" customWidth="1"/>
    <col min="6661" max="6661" width="11.140625" customWidth="1"/>
    <col min="6662" max="6662" width="10.7109375" customWidth="1"/>
    <col min="6663" max="6663" width="12.42578125" customWidth="1"/>
    <col min="6665" max="6665" width="11.5703125" customWidth="1"/>
    <col min="6666" max="6666" width="11.42578125" customWidth="1"/>
    <col min="6667" max="6667" width="11.7109375" customWidth="1"/>
    <col min="6677" max="6677" width="3.85546875" customWidth="1"/>
    <col min="6909" max="6909" width="3.7109375" customWidth="1"/>
    <col min="6911" max="6911" width="11.42578125" customWidth="1"/>
    <col min="6912" max="6912" width="11" customWidth="1"/>
    <col min="6916" max="6916" width="10.42578125" customWidth="1"/>
    <col min="6917" max="6917" width="11.140625" customWidth="1"/>
    <col min="6918" max="6918" width="10.7109375" customWidth="1"/>
    <col min="6919" max="6919" width="12.42578125" customWidth="1"/>
    <col min="6921" max="6921" width="11.5703125" customWidth="1"/>
    <col min="6922" max="6922" width="11.42578125" customWidth="1"/>
    <col min="6923" max="6923" width="11.7109375" customWidth="1"/>
    <col min="6933" max="6933" width="3.85546875" customWidth="1"/>
    <col min="7165" max="7165" width="3.7109375" customWidth="1"/>
    <col min="7167" max="7167" width="11.42578125" customWidth="1"/>
    <col min="7168" max="7168" width="11" customWidth="1"/>
    <col min="7172" max="7172" width="10.42578125" customWidth="1"/>
    <col min="7173" max="7173" width="11.140625" customWidth="1"/>
    <col min="7174" max="7174" width="10.7109375" customWidth="1"/>
    <col min="7175" max="7175" width="12.42578125" customWidth="1"/>
    <col min="7177" max="7177" width="11.5703125" customWidth="1"/>
    <col min="7178" max="7178" width="11.42578125" customWidth="1"/>
    <col min="7179" max="7179" width="11.7109375" customWidth="1"/>
    <col min="7189" max="7189" width="3.85546875" customWidth="1"/>
    <col min="7421" max="7421" width="3.7109375" customWidth="1"/>
    <col min="7423" max="7423" width="11.42578125" customWidth="1"/>
    <col min="7424" max="7424" width="11" customWidth="1"/>
    <col min="7428" max="7428" width="10.42578125" customWidth="1"/>
    <col min="7429" max="7429" width="11.140625" customWidth="1"/>
    <col min="7430" max="7430" width="10.7109375" customWidth="1"/>
    <col min="7431" max="7431" width="12.42578125" customWidth="1"/>
    <col min="7433" max="7433" width="11.5703125" customWidth="1"/>
    <col min="7434" max="7434" width="11.42578125" customWidth="1"/>
    <col min="7435" max="7435" width="11.7109375" customWidth="1"/>
    <col min="7445" max="7445" width="3.85546875" customWidth="1"/>
    <col min="7677" max="7677" width="3.7109375" customWidth="1"/>
    <col min="7679" max="7679" width="11.42578125" customWidth="1"/>
    <col min="7680" max="7680" width="11" customWidth="1"/>
    <col min="7684" max="7684" width="10.42578125" customWidth="1"/>
    <col min="7685" max="7685" width="11.140625" customWidth="1"/>
    <col min="7686" max="7686" width="10.7109375" customWidth="1"/>
    <col min="7687" max="7687" width="12.42578125" customWidth="1"/>
    <col min="7689" max="7689" width="11.5703125" customWidth="1"/>
    <col min="7690" max="7690" width="11.42578125" customWidth="1"/>
    <col min="7691" max="7691" width="11.7109375" customWidth="1"/>
    <col min="7701" max="7701" width="3.85546875" customWidth="1"/>
    <col min="7933" max="7933" width="3.7109375" customWidth="1"/>
    <col min="7935" max="7935" width="11.42578125" customWidth="1"/>
    <col min="7936" max="7936" width="11" customWidth="1"/>
    <col min="7940" max="7940" width="10.42578125" customWidth="1"/>
    <col min="7941" max="7941" width="11.140625" customWidth="1"/>
    <col min="7942" max="7942" width="10.7109375" customWidth="1"/>
    <col min="7943" max="7943" width="12.42578125" customWidth="1"/>
    <col min="7945" max="7945" width="11.5703125" customWidth="1"/>
    <col min="7946" max="7946" width="11.42578125" customWidth="1"/>
    <col min="7947" max="7947" width="11.7109375" customWidth="1"/>
    <col min="7957" max="7957" width="3.85546875" customWidth="1"/>
    <col min="8189" max="8189" width="3.7109375" customWidth="1"/>
    <col min="8191" max="8191" width="11.42578125" customWidth="1"/>
    <col min="8192" max="8192" width="11" customWidth="1"/>
    <col min="8196" max="8196" width="10.42578125" customWidth="1"/>
    <col min="8197" max="8197" width="11.140625" customWidth="1"/>
    <col min="8198" max="8198" width="10.7109375" customWidth="1"/>
    <col min="8199" max="8199" width="12.42578125" customWidth="1"/>
    <col min="8201" max="8201" width="11.5703125" customWidth="1"/>
    <col min="8202" max="8202" width="11.42578125" customWidth="1"/>
    <col min="8203" max="8203" width="11.7109375" customWidth="1"/>
    <col min="8213" max="8213" width="3.85546875" customWidth="1"/>
    <col min="8445" max="8445" width="3.7109375" customWidth="1"/>
    <col min="8447" max="8447" width="11.42578125" customWidth="1"/>
    <col min="8448" max="8448" width="11" customWidth="1"/>
    <col min="8452" max="8452" width="10.42578125" customWidth="1"/>
    <col min="8453" max="8453" width="11.140625" customWidth="1"/>
    <col min="8454" max="8454" width="10.7109375" customWidth="1"/>
    <col min="8455" max="8455" width="12.42578125" customWidth="1"/>
    <col min="8457" max="8457" width="11.5703125" customWidth="1"/>
    <col min="8458" max="8458" width="11.42578125" customWidth="1"/>
    <col min="8459" max="8459" width="11.7109375" customWidth="1"/>
    <col min="8469" max="8469" width="3.85546875" customWidth="1"/>
    <col min="8701" max="8701" width="3.7109375" customWidth="1"/>
    <col min="8703" max="8703" width="11.42578125" customWidth="1"/>
    <col min="8704" max="8704" width="11" customWidth="1"/>
    <col min="8708" max="8708" width="10.42578125" customWidth="1"/>
    <col min="8709" max="8709" width="11.140625" customWidth="1"/>
    <col min="8710" max="8710" width="10.7109375" customWidth="1"/>
    <col min="8711" max="8711" width="12.42578125" customWidth="1"/>
    <col min="8713" max="8713" width="11.5703125" customWidth="1"/>
    <col min="8714" max="8714" width="11.42578125" customWidth="1"/>
    <col min="8715" max="8715" width="11.7109375" customWidth="1"/>
    <col min="8725" max="8725" width="3.85546875" customWidth="1"/>
    <col min="8957" max="8957" width="3.7109375" customWidth="1"/>
    <col min="8959" max="8959" width="11.42578125" customWidth="1"/>
    <col min="8960" max="8960" width="11" customWidth="1"/>
    <col min="8964" max="8964" width="10.42578125" customWidth="1"/>
    <col min="8965" max="8965" width="11.140625" customWidth="1"/>
    <col min="8966" max="8966" width="10.7109375" customWidth="1"/>
    <col min="8967" max="8967" width="12.42578125" customWidth="1"/>
    <col min="8969" max="8969" width="11.5703125" customWidth="1"/>
    <col min="8970" max="8970" width="11.42578125" customWidth="1"/>
    <col min="8971" max="8971" width="11.7109375" customWidth="1"/>
    <col min="8981" max="8981" width="3.85546875" customWidth="1"/>
    <col min="9213" max="9213" width="3.7109375" customWidth="1"/>
    <col min="9215" max="9215" width="11.42578125" customWidth="1"/>
    <col min="9216" max="9216" width="11" customWidth="1"/>
    <col min="9220" max="9220" width="10.42578125" customWidth="1"/>
    <col min="9221" max="9221" width="11.140625" customWidth="1"/>
    <col min="9222" max="9222" width="10.7109375" customWidth="1"/>
    <col min="9223" max="9223" width="12.42578125" customWidth="1"/>
    <col min="9225" max="9225" width="11.5703125" customWidth="1"/>
    <col min="9226" max="9226" width="11.42578125" customWidth="1"/>
    <col min="9227" max="9227" width="11.7109375" customWidth="1"/>
    <col min="9237" max="9237" width="3.85546875" customWidth="1"/>
    <col min="9469" max="9469" width="3.7109375" customWidth="1"/>
    <col min="9471" max="9471" width="11.42578125" customWidth="1"/>
    <col min="9472" max="9472" width="11" customWidth="1"/>
    <col min="9476" max="9476" width="10.42578125" customWidth="1"/>
    <col min="9477" max="9477" width="11.140625" customWidth="1"/>
    <col min="9478" max="9478" width="10.7109375" customWidth="1"/>
    <col min="9479" max="9479" width="12.42578125" customWidth="1"/>
    <col min="9481" max="9481" width="11.5703125" customWidth="1"/>
    <col min="9482" max="9482" width="11.42578125" customWidth="1"/>
    <col min="9483" max="9483" width="11.7109375" customWidth="1"/>
    <col min="9493" max="9493" width="3.85546875" customWidth="1"/>
    <col min="9725" max="9725" width="3.7109375" customWidth="1"/>
    <col min="9727" max="9727" width="11.42578125" customWidth="1"/>
    <col min="9728" max="9728" width="11" customWidth="1"/>
    <col min="9732" max="9732" width="10.42578125" customWidth="1"/>
    <col min="9733" max="9733" width="11.140625" customWidth="1"/>
    <col min="9734" max="9734" width="10.7109375" customWidth="1"/>
    <col min="9735" max="9735" width="12.42578125" customWidth="1"/>
    <col min="9737" max="9737" width="11.5703125" customWidth="1"/>
    <col min="9738" max="9738" width="11.42578125" customWidth="1"/>
    <col min="9739" max="9739" width="11.7109375" customWidth="1"/>
    <col min="9749" max="9749" width="3.85546875" customWidth="1"/>
    <col min="9981" max="9981" width="3.7109375" customWidth="1"/>
    <col min="9983" max="9983" width="11.42578125" customWidth="1"/>
    <col min="9984" max="9984" width="11" customWidth="1"/>
    <col min="9988" max="9988" width="10.42578125" customWidth="1"/>
    <col min="9989" max="9989" width="11.140625" customWidth="1"/>
    <col min="9990" max="9990" width="10.7109375" customWidth="1"/>
    <col min="9991" max="9991" width="12.42578125" customWidth="1"/>
    <col min="9993" max="9993" width="11.5703125" customWidth="1"/>
    <col min="9994" max="9994" width="11.42578125" customWidth="1"/>
    <col min="9995" max="9995" width="11.7109375" customWidth="1"/>
    <col min="10005" max="10005" width="3.85546875" customWidth="1"/>
    <col min="10237" max="10237" width="3.7109375" customWidth="1"/>
    <col min="10239" max="10239" width="11.42578125" customWidth="1"/>
    <col min="10240" max="10240" width="11" customWidth="1"/>
    <col min="10244" max="10244" width="10.42578125" customWidth="1"/>
    <col min="10245" max="10245" width="11.140625" customWidth="1"/>
    <col min="10246" max="10246" width="10.7109375" customWidth="1"/>
    <col min="10247" max="10247" width="12.42578125" customWidth="1"/>
    <col min="10249" max="10249" width="11.5703125" customWidth="1"/>
    <col min="10250" max="10250" width="11.42578125" customWidth="1"/>
    <col min="10251" max="10251" width="11.7109375" customWidth="1"/>
    <col min="10261" max="10261" width="3.85546875" customWidth="1"/>
    <col min="10493" max="10493" width="3.7109375" customWidth="1"/>
    <col min="10495" max="10495" width="11.42578125" customWidth="1"/>
    <col min="10496" max="10496" width="11" customWidth="1"/>
    <col min="10500" max="10500" width="10.42578125" customWidth="1"/>
    <col min="10501" max="10501" width="11.140625" customWidth="1"/>
    <col min="10502" max="10502" width="10.7109375" customWidth="1"/>
    <col min="10503" max="10503" width="12.42578125" customWidth="1"/>
    <col min="10505" max="10505" width="11.5703125" customWidth="1"/>
    <col min="10506" max="10506" width="11.42578125" customWidth="1"/>
    <col min="10507" max="10507" width="11.7109375" customWidth="1"/>
    <col min="10517" max="10517" width="3.85546875" customWidth="1"/>
    <col min="10749" max="10749" width="3.7109375" customWidth="1"/>
    <col min="10751" max="10751" width="11.42578125" customWidth="1"/>
    <col min="10752" max="10752" width="11" customWidth="1"/>
    <col min="10756" max="10756" width="10.42578125" customWidth="1"/>
    <col min="10757" max="10757" width="11.140625" customWidth="1"/>
    <col min="10758" max="10758" width="10.7109375" customWidth="1"/>
    <col min="10759" max="10759" width="12.42578125" customWidth="1"/>
    <col min="10761" max="10761" width="11.5703125" customWidth="1"/>
    <col min="10762" max="10762" width="11.42578125" customWidth="1"/>
    <col min="10763" max="10763" width="11.7109375" customWidth="1"/>
    <col min="10773" max="10773" width="3.85546875" customWidth="1"/>
    <col min="11005" max="11005" width="3.7109375" customWidth="1"/>
    <col min="11007" max="11007" width="11.42578125" customWidth="1"/>
    <col min="11008" max="11008" width="11" customWidth="1"/>
    <col min="11012" max="11012" width="10.42578125" customWidth="1"/>
    <col min="11013" max="11013" width="11.140625" customWidth="1"/>
    <col min="11014" max="11014" width="10.7109375" customWidth="1"/>
    <col min="11015" max="11015" width="12.42578125" customWidth="1"/>
    <col min="11017" max="11017" width="11.5703125" customWidth="1"/>
    <col min="11018" max="11018" width="11.42578125" customWidth="1"/>
    <col min="11019" max="11019" width="11.7109375" customWidth="1"/>
    <col min="11029" max="11029" width="3.85546875" customWidth="1"/>
    <col min="11261" max="11261" width="3.7109375" customWidth="1"/>
    <col min="11263" max="11263" width="11.42578125" customWidth="1"/>
    <col min="11264" max="11264" width="11" customWidth="1"/>
    <col min="11268" max="11268" width="10.42578125" customWidth="1"/>
    <col min="11269" max="11269" width="11.140625" customWidth="1"/>
    <col min="11270" max="11270" width="10.7109375" customWidth="1"/>
    <col min="11271" max="11271" width="12.42578125" customWidth="1"/>
    <col min="11273" max="11273" width="11.5703125" customWidth="1"/>
    <col min="11274" max="11274" width="11.42578125" customWidth="1"/>
    <col min="11275" max="11275" width="11.7109375" customWidth="1"/>
    <col min="11285" max="11285" width="3.85546875" customWidth="1"/>
    <col min="11517" max="11517" width="3.7109375" customWidth="1"/>
    <col min="11519" max="11519" width="11.42578125" customWidth="1"/>
    <col min="11520" max="11520" width="11" customWidth="1"/>
    <col min="11524" max="11524" width="10.42578125" customWidth="1"/>
    <col min="11525" max="11525" width="11.140625" customWidth="1"/>
    <col min="11526" max="11526" width="10.7109375" customWidth="1"/>
    <col min="11527" max="11527" width="12.42578125" customWidth="1"/>
    <col min="11529" max="11529" width="11.5703125" customWidth="1"/>
    <col min="11530" max="11530" width="11.42578125" customWidth="1"/>
    <col min="11531" max="11531" width="11.7109375" customWidth="1"/>
    <col min="11541" max="11541" width="3.85546875" customWidth="1"/>
    <col min="11773" max="11773" width="3.7109375" customWidth="1"/>
    <col min="11775" max="11775" width="11.42578125" customWidth="1"/>
    <col min="11776" max="11776" width="11" customWidth="1"/>
    <col min="11780" max="11780" width="10.42578125" customWidth="1"/>
    <col min="11781" max="11781" width="11.140625" customWidth="1"/>
    <col min="11782" max="11782" width="10.7109375" customWidth="1"/>
    <col min="11783" max="11783" width="12.42578125" customWidth="1"/>
    <col min="11785" max="11785" width="11.5703125" customWidth="1"/>
    <col min="11786" max="11786" width="11.42578125" customWidth="1"/>
    <col min="11787" max="11787" width="11.7109375" customWidth="1"/>
    <col min="11797" max="11797" width="3.85546875" customWidth="1"/>
    <col min="12029" max="12029" width="3.7109375" customWidth="1"/>
    <col min="12031" max="12031" width="11.42578125" customWidth="1"/>
    <col min="12032" max="12032" width="11" customWidth="1"/>
    <col min="12036" max="12036" width="10.42578125" customWidth="1"/>
    <col min="12037" max="12037" width="11.140625" customWidth="1"/>
    <col min="12038" max="12038" width="10.7109375" customWidth="1"/>
    <col min="12039" max="12039" width="12.42578125" customWidth="1"/>
    <col min="12041" max="12041" width="11.5703125" customWidth="1"/>
    <col min="12042" max="12042" width="11.42578125" customWidth="1"/>
    <col min="12043" max="12043" width="11.7109375" customWidth="1"/>
    <col min="12053" max="12053" width="3.85546875" customWidth="1"/>
    <col min="12285" max="12285" width="3.7109375" customWidth="1"/>
    <col min="12287" max="12287" width="11.42578125" customWidth="1"/>
    <col min="12288" max="12288" width="11" customWidth="1"/>
    <col min="12292" max="12292" width="10.42578125" customWidth="1"/>
    <col min="12293" max="12293" width="11.140625" customWidth="1"/>
    <col min="12294" max="12294" width="10.7109375" customWidth="1"/>
    <col min="12295" max="12295" width="12.42578125" customWidth="1"/>
    <col min="12297" max="12297" width="11.5703125" customWidth="1"/>
    <col min="12298" max="12298" width="11.42578125" customWidth="1"/>
    <col min="12299" max="12299" width="11.7109375" customWidth="1"/>
    <col min="12309" max="12309" width="3.85546875" customWidth="1"/>
    <col min="12541" max="12541" width="3.7109375" customWidth="1"/>
    <col min="12543" max="12543" width="11.42578125" customWidth="1"/>
    <col min="12544" max="12544" width="11" customWidth="1"/>
    <col min="12548" max="12548" width="10.42578125" customWidth="1"/>
    <col min="12549" max="12549" width="11.140625" customWidth="1"/>
    <col min="12550" max="12550" width="10.7109375" customWidth="1"/>
    <col min="12551" max="12551" width="12.42578125" customWidth="1"/>
    <col min="12553" max="12553" width="11.5703125" customWidth="1"/>
    <col min="12554" max="12554" width="11.42578125" customWidth="1"/>
    <col min="12555" max="12555" width="11.7109375" customWidth="1"/>
    <col min="12565" max="12565" width="3.85546875" customWidth="1"/>
    <col min="12797" max="12797" width="3.7109375" customWidth="1"/>
    <col min="12799" max="12799" width="11.42578125" customWidth="1"/>
    <col min="12800" max="12800" width="11" customWidth="1"/>
    <col min="12804" max="12804" width="10.42578125" customWidth="1"/>
    <col min="12805" max="12805" width="11.140625" customWidth="1"/>
    <col min="12806" max="12806" width="10.7109375" customWidth="1"/>
    <col min="12807" max="12807" width="12.42578125" customWidth="1"/>
    <col min="12809" max="12809" width="11.5703125" customWidth="1"/>
    <col min="12810" max="12810" width="11.42578125" customWidth="1"/>
    <col min="12811" max="12811" width="11.7109375" customWidth="1"/>
    <col min="12821" max="12821" width="3.85546875" customWidth="1"/>
    <col min="13053" max="13053" width="3.7109375" customWidth="1"/>
    <col min="13055" max="13055" width="11.42578125" customWidth="1"/>
    <col min="13056" max="13056" width="11" customWidth="1"/>
    <col min="13060" max="13060" width="10.42578125" customWidth="1"/>
    <col min="13061" max="13061" width="11.140625" customWidth="1"/>
    <col min="13062" max="13062" width="10.7109375" customWidth="1"/>
    <col min="13063" max="13063" width="12.42578125" customWidth="1"/>
    <col min="13065" max="13065" width="11.5703125" customWidth="1"/>
    <col min="13066" max="13066" width="11.42578125" customWidth="1"/>
    <col min="13067" max="13067" width="11.7109375" customWidth="1"/>
    <col min="13077" max="13077" width="3.85546875" customWidth="1"/>
    <col min="13309" max="13309" width="3.7109375" customWidth="1"/>
    <col min="13311" max="13311" width="11.42578125" customWidth="1"/>
    <col min="13312" max="13312" width="11" customWidth="1"/>
    <col min="13316" max="13316" width="10.42578125" customWidth="1"/>
    <col min="13317" max="13317" width="11.140625" customWidth="1"/>
    <col min="13318" max="13318" width="10.7109375" customWidth="1"/>
    <col min="13319" max="13319" width="12.42578125" customWidth="1"/>
    <col min="13321" max="13321" width="11.5703125" customWidth="1"/>
    <col min="13322" max="13322" width="11.42578125" customWidth="1"/>
    <col min="13323" max="13323" width="11.7109375" customWidth="1"/>
    <col min="13333" max="13333" width="3.85546875" customWidth="1"/>
    <col min="13565" max="13565" width="3.7109375" customWidth="1"/>
    <col min="13567" max="13567" width="11.42578125" customWidth="1"/>
    <col min="13568" max="13568" width="11" customWidth="1"/>
    <col min="13572" max="13572" width="10.42578125" customWidth="1"/>
    <col min="13573" max="13573" width="11.140625" customWidth="1"/>
    <col min="13574" max="13574" width="10.7109375" customWidth="1"/>
    <col min="13575" max="13575" width="12.42578125" customWidth="1"/>
    <col min="13577" max="13577" width="11.5703125" customWidth="1"/>
    <col min="13578" max="13578" width="11.42578125" customWidth="1"/>
    <col min="13579" max="13579" width="11.7109375" customWidth="1"/>
    <col min="13589" max="13589" width="3.85546875" customWidth="1"/>
    <col min="13821" max="13821" width="3.7109375" customWidth="1"/>
    <col min="13823" max="13823" width="11.42578125" customWidth="1"/>
    <col min="13824" max="13824" width="11" customWidth="1"/>
    <col min="13828" max="13828" width="10.42578125" customWidth="1"/>
    <col min="13829" max="13829" width="11.140625" customWidth="1"/>
    <col min="13830" max="13830" width="10.7109375" customWidth="1"/>
    <col min="13831" max="13831" width="12.42578125" customWidth="1"/>
    <col min="13833" max="13833" width="11.5703125" customWidth="1"/>
    <col min="13834" max="13834" width="11.42578125" customWidth="1"/>
    <col min="13835" max="13835" width="11.7109375" customWidth="1"/>
    <col min="13845" max="13845" width="3.85546875" customWidth="1"/>
    <col min="14077" max="14077" width="3.7109375" customWidth="1"/>
    <col min="14079" max="14079" width="11.42578125" customWidth="1"/>
    <col min="14080" max="14080" width="11" customWidth="1"/>
    <col min="14084" max="14084" width="10.42578125" customWidth="1"/>
    <col min="14085" max="14085" width="11.140625" customWidth="1"/>
    <col min="14086" max="14086" width="10.7109375" customWidth="1"/>
    <col min="14087" max="14087" width="12.42578125" customWidth="1"/>
    <col min="14089" max="14089" width="11.5703125" customWidth="1"/>
    <col min="14090" max="14090" width="11.42578125" customWidth="1"/>
    <col min="14091" max="14091" width="11.7109375" customWidth="1"/>
    <col min="14101" max="14101" width="3.85546875" customWidth="1"/>
    <col min="14333" max="14333" width="3.7109375" customWidth="1"/>
    <col min="14335" max="14335" width="11.42578125" customWidth="1"/>
    <col min="14336" max="14336" width="11" customWidth="1"/>
    <col min="14340" max="14340" width="10.42578125" customWidth="1"/>
    <col min="14341" max="14341" width="11.140625" customWidth="1"/>
    <col min="14342" max="14342" width="10.7109375" customWidth="1"/>
    <col min="14343" max="14343" width="12.42578125" customWidth="1"/>
    <col min="14345" max="14345" width="11.5703125" customWidth="1"/>
    <col min="14346" max="14346" width="11.42578125" customWidth="1"/>
    <col min="14347" max="14347" width="11.7109375" customWidth="1"/>
    <col min="14357" max="14357" width="3.85546875" customWidth="1"/>
    <col min="14589" max="14589" width="3.7109375" customWidth="1"/>
    <col min="14591" max="14591" width="11.42578125" customWidth="1"/>
    <col min="14592" max="14592" width="11" customWidth="1"/>
    <col min="14596" max="14596" width="10.42578125" customWidth="1"/>
    <col min="14597" max="14597" width="11.140625" customWidth="1"/>
    <col min="14598" max="14598" width="10.7109375" customWidth="1"/>
    <col min="14599" max="14599" width="12.42578125" customWidth="1"/>
    <col min="14601" max="14601" width="11.5703125" customWidth="1"/>
    <col min="14602" max="14602" width="11.42578125" customWidth="1"/>
    <col min="14603" max="14603" width="11.7109375" customWidth="1"/>
    <col min="14613" max="14613" width="3.85546875" customWidth="1"/>
    <col min="14845" max="14845" width="3.7109375" customWidth="1"/>
    <col min="14847" max="14847" width="11.42578125" customWidth="1"/>
    <col min="14848" max="14848" width="11" customWidth="1"/>
    <col min="14852" max="14852" width="10.42578125" customWidth="1"/>
    <col min="14853" max="14853" width="11.140625" customWidth="1"/>
    <col min="14854" max="14854" width="10.7109375" customWidth="1"/>
    <col min="14855" max="14855" width="12.42578125" customWidth="1"/>
    <col min="14857" max="14857" width="11.5703125" customWidth="1"/>
    <col min="14858" max="14858" width="11.42578125" customWidth="1"/>
    <col min="14859" max="14859" width="11.7109375" customWidth="1"/>
    <col min="14869" max="14869" width="3.85546875" customWidth="1"/>
    <col min="15101" max="15101" width="3.7109375" customWidth="1"/>
    <col min="15103" max="15103" width="11.42578125" customWidth="1"/>
    <col min="15104" max="15104" width="11" customWidth="1"/>
    <col min="15108" max="15108" width="10.42578125" customWidth="1"/>
    <col min="15109" max="15109" width="11.140625" customWidth="1"/>
    <col min="15110" max="15110" width="10.7109375" customWidth="1"/>
    <col min="15111" max="15111" width="12.42578125" customWidth="1"/>
    <col min="15113" max="15113" width="11.5703125" customWidth="1"/>
    <col min="15114" max="15114" width="11.42578125" customWidth="1"/>
    <col min="15115" max="15115" width="11.7109375" customWidth="1"/>
    <col min="15125" max="15125" width="3.85546875" customWidth="1"/>
    <col min="15357" max="15357" width="3.7109375" customWidth="1"/>
    <col min="15359" max="15359" width="11.42578125" customWidth="1"/>
    <col min="15360" max="15360" width="11" customWidth="1"/>
    <col min="15364" max="15364" width="10.42578125" customWidth="1"/>
    <col min="15365" max="15365" width="11.140625" customWidth="1"/>
    <col min="15366" max="15366" width="10.7109375" customWidth="1"/>
    <col min="15367" max="15367" width="12.42578125" customWidth="1"/>
    <col min="15369" max="15369" width="11.5703125" customWidth="1"/>
    <col min="15370" max="15370" width="11.42578125" customWidth="1"/>
    <col min="15371" max="15371" width="11.7109375" customWidth="1"/>
    <col min="15381" max="15381" width="3.85546875" customWidth="1"/>
    <col min="15613" max="15613" width="3.7109375" customWidth="1"/>
    <col min="15615" max="15615" width="11.42578125" customWidth="1"/>
    <col min="15616" max="15616" width="11" customWidth="1"/>
    <col min="15620" max="15620" width="10.42578125" customWidth="1"/>
    <col min="15621" max="15621" width="11.140625" customWidth="1"/>
    <col min="15622" max="15622" width="10.7109375" customWidth="1"/>
    <col min="15623" max="15623" width="12.42578125" customWidth="1"/>
    <col min="15625" max="15625" width="11.5703125" customWidth="1"/>
    <col min="15626" max="15626" width="11.42578125" customWidth="1"/>
    <col min="15627" max="15627" width="11.7109375" customWidth="1"/>
    <col min="15637" max="15637" width="3.85546875" customWidth="1"/>
    <col min="15869" max="15869" width="3.7109375" customWidth="1"/>
    <col min="15871" max="15871" width="11.42578125" customWidth="1"/>
    <col min="15872" max="15872" width="11" customWidth="1"/>
    <col min="15876" max="15876" width="10.42578125" customWidth="1"/>
    <col min="15877" max="15877" width="11.140625" customWidth="1"/>
    <col min="15878" max="15878" width="10.7109375" customWidth="1"/>
    <col min="15879" max="15879" width="12.42578125" customWidth="1"/>
    <col min="15881" max="15881" width="11.5703125" customWidth="1"/>
    <col min="15882" max="15882" width="11.42578125" customWidth="1"/>
    <col min="15883" max="15883" width="11.7109375" customWidth="1"/>
    <col min="15893" max="15893" width="3.85546875" customWidth="1"/>
    <col min="16125" max="16125" width="3.7109375" customWidth="1"/>
    <col min="16127" max="16127" width="11.42578125" customWidth="1"/>
    <col min="16128" max="16128" width="11" customWidth="1"/>
    <col min="16132" max="16132" width="10.42578125" customWidth="1"/>
    <col min="16133" max="16133" width="11.140625" customWidth="1"/>
    <col min="16134" max="16134" width="10.7109375" customWidth="1"/>
    <col min="16135" max="16135" width="12.42578125" customWidth="1"/>
    <col min="16137" max="16137" width="11.5703125" customWidth="1"/>
    <col min="16138" max="16138" width="11.42578125" customWidth="1"/>
    <col min="16139" max="16139" width="11.7109375" customWidth="1"/>
    <col min="16149" max="16149" width="3.85546875" customWidth="1"/>
  </cols>
  <sheetData>
    <row r="1" spans="1:23" x14ac:dyDescent="0.2">
      <c r="A1" s="117" t="s">
        <v>0</v>
      </c>
      <c r="B1" s="117"/>
      <c r="C1" s="117"/>
      <c r="D1" s="117"/>
      <c r="E1" s="117"/>
      <c r="F1" s="117"/>
      <c r="G1" s="117"/>
      <c r="H1" s="117"/>
      <c r="I1" s="117"/>
      <c r="J1" s="117"/>
      <c r="K1" s="117"/>
      <c r="L1" s="117"/>
      <c r="M1" s="117"/>
      <c r="N1" s="117"/>
      <c r="O1" s="117"/>
      <c r="P1" s="117"/>
      <c r="Q1" s="117"/>
      <c r="R1" s="117"/>
      <c r="S1" s="73"/>
      <c r="T1" s="73"/>
      <c r="U1" s="73"/>
      <c r="V1" s="73"/>
      <c r="W1" s="73"/>
    </row>
    <row r="2" spans="1:23" x14ac:dyDescent="0.2">
      <c r="A2" s="117" t="s">
        <v>84</v>
      </c>
      <c r="B2" s="117"/>
      <c r="C2" s="117"/>
      <c r="D2" s="117"/>
      <c r="E2" s="117"/>
      <c r="F2" s="117"/>
      <c r="G2" s="117"/>
      <c r="H2" s="117"/>
      <c r="I2" s="117"/>
      <c r="J2" s="117"/>
      <c r="K2" s="117"/>
      <c r="L2" s="117"/>
      <c r="M2" s="117"/>
      <c r="N2" s="117"/>
      <c r="O2" s="117"/>
      <c r="P2" s="117"/>
      <c r="Q2" s="117"/>
      <c r="R2" s="117"/>
      <c r="S2" s="73"/>
      <c r="T2" s="73"/>
      <c r="U2" s="73"/>
      <c r="V2" s="73"/>
      <c r="W2" s="73"/>
    </row>
    <row r="3" spans="1:23" x14ac:dyDescent="0.2">
      <c r="A3" s="117" t="str">
        <f>"Base Case Forecast Effective " &amp; TEXT(EFFDATE,"MMMM DD YYYY")</f>
        <v>Base Case Forecast Effective December 31 2016</v>
      </c>
      <c r="B3" s="117"/>
      <c r="C3" s="117"/>
      <c r="D3" s="117"/>
      <c r="E3" s="117"/>
      <c r="F3" s="117"/>
      <c r="G3" s="117"/>
      <c r="H3" s="117"/>
      <c r="I3" s="117"/>
      <c r="J3" s="117"/>
      <c r="K3" s="117"/>
      <c r="L3" s="117"/>
      <c r="M3" s="117"/>
      <c r="N3" s="117"/>
      <c r="O3" s="117"/>
      <c r="P3" s="117"/>
      <c r="Q3" s="117"/>
      <c r="R3" s="117"/>
      <c r="S3" s="73"/>
      <c r="T3" s="73"/>
      <c r="U3" s="73"/>
      <c r="V3" s="73"/>
      <c r="W3" s="73"/>
    </row>
    <row r="4" spans="1:23" x14ac:dyDescent="0.2">
      <c r="A4" s="117" t="s">
        <v>85</v>
      </c>
      <c r="B4" s="117"/>
      <c r="C4" s="117"/>
      <c r="D4" s="117"/>
      <c r="E4" s="117"/>
      <c r="F4" s="117"/>
      <c r="G4" s="117"/>
      <c r="H4" s="117"/>
      <c r="I4" s="117"/>
      <c r="J4" s="117"/>
      <c r="K4" s="117"/>
      <c r="L4" s="117"/>
      <c r="M4" s="117"/>
      <c r="N4" s="117"/>
      <c r="O4" s="117"/>
      <c r="P4" s="117"/>
      <c r="Q4" s="117"/>
      <c r="R4" s="117"/>
      <c r="S4" s="73"/>
      <c r="T4" s="73"/>
      <c r="U4" s="73"/>
      <c r="V4" s="73"/>
      <c r="W4" s="73"/>
    </row>
    <row r="5" spans="1:23" x14ac:dyDescent="0.2">
      <c r="A5" s="53"/>
      <c r="B5" s="53"/>
      <c r="C5" s="53"/>
      <c r="D5" s="53"/>
      <c r="E5" s="53"/>
      <c r="F5" s="53"/>
      <c r="G5" s="53"/>
      <c r="H5" s="53"/>
      <c r="I5" s="53"/>
      <c r="J5" s="53"/>
      <c r="K5" s="5"/>
      <c r="L5" s="5"/>
      <c r="M5" s="53"/>
      <c r="N5" s="53"/>
      <c r="O5" s="53"/>
      <c r="P5" s="53"/>
      <c r="Q5" s="53"/>
      <c r="R5" s="53"/>
      <c r="S5" s="53"/>
      <c r="T5" s="53"/>
      <c r="U5" s="53"/>
      <c r="V5" s="53"/>
      <c r="W5" s="53"/>
    </row>
    <row r="6" spans="1:23" x14ac:dyDescent="0.2">
      <c r="A6" s="6"/>
      <c r="B6" s="74" t="s">
        <v>2</v>
      </c>
      <c r="C6" s="118" t="s">
        <v>3</v>
      </c>
      <c r="D6" s="119"/>
      <c r="E6" s="119"/>
      <c r="F6" s="119"/>
      <c r="G6" s="119"/>
      <c r="H6" s="119"/>
      <c r="I6" s="119"/>
      <c r="J6" s="119"/>
      <c r="K6" s="119"/>
      <c r="L6" s="119"/>
      <c r="M6" s="119"/>
      <c r="N6" s="119"/>
      <c r="O6" s="119"/>
      <c r="P6" s="119"/>
      <c r="Q6" s="119"/>
      <c r="R6" s="120"/>
      <c r="S6" s="53"/>
      <c r="T6" s="53"/>
      <c r="U6" s="53"/>
      <c r="V6" s="53"/>
      <c r="W6" s="53"/>
    </row>
    <row r="7" spans="1:23" x14ac:dyDescent="0.2">
      <c r="A7" s="11"/>
      <c r="B7" s="75"/>
      <c r="C7" s="15"/>
      <c r="D7" s="16"/>
      <c r="E7" s="16"/>
      <c r="F7" s="16"/>
      <c r="G7" s="16"/>
      <c r="H7" s="16"/>
      <c r="I7" s="16"/>
      <c r="J7" s="16"/>
      <c r="K7" s="76" t="s">
        <v>86</v>
      </c>
      <c r="L7" s="16"/>
      <c r="M7" s="77"/>
      <c r="N7" s="16"/>
      <c r="O7" s="16"/>
      <c r="P7" s="16"/>
      <c r="Q7" s="16"/>
      <c r="R7" s="18"/>
      <c r="S7" s="53"/>
      <c r="T7" s="53"/>
      <c r="U7" s="53"/>
      <c r="V7" s="53"/>
      <c r="W7" s="53"/>
    </row>
    <row r="8" spans="1:23" x14ac:dyDescent="0.2">
      <c r="A8" s="11"/>
      <c r="B8" s="75"/>
      <c r="C8" s="78" t="s">
        <v>24</v>
      </c>
      <c r="D8" s="76" t="s">
        <v>87</v>
      </c>
      <c r="E8" s="76" t="s">
        <v>88</v>
      </c>
      <c r="F8" s="76" t="s">
        <v>89</v>
      </c>
      <c r="G8" s="76" t="s">
        <v>89</v>
      </c>
      <c r="H8" s="76" t="s">
        <v>90</v>
      </c>
      <c r="I8" s="76" t="s">
        <v>91</v>
      </c>
      <c r="J8" s="76"/>
      <c r="K8" s="76" t="s">
        <v>92</v>
      </c>
      <c r="L8" s="76" t="s">
        <v>24</v>
      </c>
      <c r="M8" s="76"/>
      <c r="N8" s="76"/>
      <c r="O8" s="53"/>
      <c r="P8" s="53"/>
      <c r="Q8" s="53"/>
      <c r="R8" s="75"/>
      <c r="S8" s="53"/>
      <c r="T8" s="53"/>
      <c r="U8" s="53"/>
      <c r="V8" s="53"/>
      <c r="W8" s="53"/>
    </row>
    <row r="9" spans="1:23" x14ac:dyDescent="0.2">
      <c r="A9" s="11"/>
      <c r="B9" s="75"/>
      <c r="C9" s="78" t="s">
        <v>93</v>
      </c>
      <c r="D9" s="76" t="s">
        <v>94</v>
      </c>
      <c r="E9" s="76" t="s">
        <v>95</v>
      </c>
      <c r="F9" s="79" t="s">
        <v>96</v>
      </c>
      <c r="G9" s="76" t="s">
        <v>97</v>
      </c>
      <c r="H9" s="76" t="s">
        <v>98</v>
      </c>
      <c r="I9" s="76" t="s">
        <v>99</v>
      </c>
      <c r="J9" s="76" t="s">
        <v>100</v>
      </c>
      <c r="K9" s="76" t="s">
        <v>101</v>
      </c>
      <c r="L9" s="76" t="s">
        <v>102</v>
      </c>
      <c r="M9" s="76" t="s">
        <v>103</v>
      </c>
      <c r="N9" s="76" t="s">
        <v>104</v>
      </c>
      <c r="O9" s="76" t="s">
        <v>105</v>
      </c>
      <c r="P9" s="76" t="s">
        <v>106</v>
      </c>
      <c r="Q9" s="76" t="s">
        <v>107</v>
      </c>
      <c r="R9" s="80" t="s">
        <v>108</v>
      </c>
      <c r="S9" s="53"/>
      <c r="T9" s="53"/>
      <c r="U9" s="53"/>
      <c r="V9" s="53"/>
      <c r="W9" s="53"/>
    </row>
    <row r="10" spans="1:23" x14ac:dyDescent="0.2">
      <c r="A10" s="11"/>
      <c r="B10" s="75"/>
      <c r="C10" s="78" t="s">
        <v>109</v>
      </c>
      <c r="D10" s="76" t="s">
        <v>110</v>
      </c>
      <c r="E10" s="76" t="s">
        <v>111</v>
      </c>
      <c r="F10" s="76" t="s">
        <v>99</v>
      </c>
      <c r="G10" s="76" t="s">
        <v>99</v>
      </c>
      <c r="H10" s="76"/>
      <c r="I10" s="76"/>
      <c r="J10" s="76" t="s">
        <v>109</v>
      </c>
      <c r="K10" s="76" t="s">
        <v>112</v>
      </c>
      <c r="L10" s="76" t="s">
        <v>113</v>
      </c>
      <c r="M10" s="76" t="s">
        <v>114</v>
      </c>
      <c r="N10" s="76" t="s">
        <v>115</v>
      </c>
      <c r="O10" s="76" t="s">
        <v>116</v>
      </c>
      <c r="P10" s="76" t="s">
        <v>117</v>
      </c>
      <c r="Q10" s="76" t="s">
        <v>118</v>
      </c>
      <c r="R10" s="80" t="s">
        <v>119</v>
      </c>
      <c r="S10" s="53"/>
      <c r="T10" s="53"/>
      <c r="U10" s="53"/>
      <c r="V10" s="53"/>
      <c r="W10" s="53"/>
    </row>
    <row r="11" spans="1:23" x14ac:dyDescent="0.2">
      <c r="A11" s="11"/>
      <c r="B11" s="18"/>
      <c r="C11" s="78" t="s">
        <v>120</v>
      </c>
      <c r="D11" s="76" t="s">
        <v>120</v>
      </c>
      <c r="E11" s="76" t="s">
        <v>120</v>
      </c>
      <c r="F11" s="76" t="s">
        <v>120</v>
      </c>
      <c r="G11" s="76" t="s">
        <v>120</v>
      </c>
      <c r="H11" s="76" t="s">
        <v>120</v>
      </c>
      <c r="I11" s="76" t="s">
        <v>120</v>
      </c>
      <c r="J11" s="76" t="s">
        <v>120</v>
      </c>
      <c r="K11" s="76" t="s">
        <v>120</v>
      </c>
      <c r="L11" s="76" t="s">
        <v>120</v>
      </c>
      <c r="M11" s="76" t="s">
        <v>120</v>
      </c>
      <c r="N11" s="76" t="s">
        <v>120</v>
      </c>
      <c r="O11" s="76" t="s">
        <v>120</v>
      </c>
      <c r="P11" s="76" t="s">
        <v>120</v>
      </c>
      <c r="Q11" s="76" t="s">
        <v>120</v>
      </c>
      <c r="R11" s="80" t="s">
        <v>120</v>
      </c>
      <c r="S11" s="53"/>
      <c r="T11" s="53"/>
      <c r="U11" s="53"/>
      <c r="V11" s="53"/>
      <c r="W11" s="53"/>
    </row>
    <row r="12" spans="1:23" x14ac:dyDescent="0.2">
      <c r="A12" s="23"/>
      <c r="B12" s="81"/>
      <c r="C12" s="82" t="s">
        <v>49</v>
      </c>
      <c r="D12" s="83" t="s">
        <v>49</v>
      </c>
      <c r="E12" s="83" t="s">
        <v>49</v>
      </c>
      <c r="F12" s="83" t="s">
        <v>49</v>
      </c>
      <c r="G12" s="83" t="s">
        <v>49</v>
      </c>
      <c r="H12" s="83" t="s">
        <v>49</v>
      </c>
      <c r="I12" s="83" t="s">
        <v>49</v>
      </c>
      <c r="J12" s="83" t="s">
        <v>49</v>
      </c>
      <c r="K12" s="83" t="s">
        <v>49</v>
      </c>
      <c r="L12" s="83" t="s">
        <v>49</v>
      </c>
      <c r="M12" s="83" t="s">
        <v>49</v>
      </c>
      <c r="N12" s="83" t="s">
        <v>49</v>
      </c>
      <c r="O12" s="83" t="s">
        <v>49</v>
      </c>
      <c r="P12" s="83" t="s">
        <v>49</v>
      </c>
      <c r="Q12" s="83" t="s">
        <v>49</v>
      </c>
      <c r="R12" s="84" t="s">
        <v>49</v>
      </c>
      <c r="S12" s="53"/>
      <c r="T12" s="53"/>
      <c r="U12" s="53"/>
      <c r="V12" s="53"/>
      <c r="W12" s="53"/>
    </row>
    <row r="13" spans="1:23" x14ac:dyDescent="0.2">
      <c r="A13" s="15" t="s">
        <v>62</v>
      </c>
      <c r="B13" s="16">
        <f>YEAR(EFFDATE+1)</f>
        <v>2017</v>
      </c>
      <c r="C13" s="32">
        <f>HLOOKUP("WTI",'[2]Deloitte Forecast Input Real'!$2:$53,2+'[2]Deloitte Forecast Input Real'!A4,FALSE)</f>
        <v>55</v>
      </c>
      <c r="D13" s="17">
        <f>HLOOKUP("Alaskan North Slope",'[2]Deloitte Forecast Input Real'!$2:$53,2+'[2]Deloitte Forecast Input Real'!A4,FALSE)</f>
        <v>46</v>
      </c>
      <c r="E13" s="17">
        <f>HLOOKUP("California Kern River",'[2]Deloitte Forecast Input Real'!$2:$53,2+'[2]Deloitte Forecast Input Real'!A4,FALSE)</f>
        <v>50</v>
      </c>
      <c r="F13" s="17">
        <f>HLOOKUP("Louisiana Heavy Sweet",'[2]Deloitte Forecast Input Real'!$2:$53,2+'[2]Deloitte Forecast Input Real'!A4,FALSE)</f>
        <v>52.5</v>
      </c>
      <c r="G13" s="17">
        <f>HLOOKUP("Louisiana Light Sweet",'[2]Deloitte Forecast Input Real'!$2:$53,2+'[2]Deloitte Forecast Input Real'!A4,FALSE)</f>
        <v>53</v>
      </c>
      <c r="H13" s="17">
        <f>HLOOKUP("MARS Blend",'[2]Deloitte Forecast Input Real'!$2:$53,2+'[2]Deloitte Forecast Input Real'!A4,FALSE)</f>
        <v>50</v>
      </c>
      <c r="I13" s="17">
        <f>HLOOKUP("Wyoming Sweet",'[2]Deloitte Forecast Input Real'!$2:$53,2+'[2]Deloitte Forecast Input Real'!A4,FALSE)</f>
        <v>49</v>
      </c>
      <c r="J13" s="17">
        <f>HLOOKUP("Brent Spot",'[2]Deloitte Forecast Input Real'!$2:$53,2+'[2]Deloitte Forecast Input Real'!A4,FALSE)</f>
        <v>56</v>
      </c>
      <c r="K13" s="17">
        <f>HLOOKUP("Gulf Coast Argus Sour Crude Index",'[2]Deloitte Forecast Input Real'!$2:$53,2+'[2]Deloitte Forecast Input Real'!A4,FALSE)</f>
        <v>50</v>
      </c>
      <c r="L13" s="17">
        <f>HLOOKUP("Average OPEC Basket",'[2]Deloitte Forecast Input Real'!$2:$53,2+'[2]Deloitte Forecast Input Real'!A4,FALSE)</f>
        <v>54</v>
      </c>
      <c r="M13" s="17">
        <f>HLOOKUP("Venezuelan Merey Crude",'[2]Deloitte Forecast Input Real'!$2:$53,2+'[2]Deloitte Forecast Input Real'!A4,FALSE)</f>
        <v>47</v>
      </c>
      <c r="N13" s="17">
        <f>HLOOKUP("Nigerian Bonny Light",'[2]Deloitte Forecast Input Real'!$2:$53,2+'[2]Deloitte Forecast Input Real'!A4,FALSE)</f>
        <v>56.4</v>
      </c>
      <c r="O13" s="17">
        <f>HLOOKUP("Arabia UAE Dubai Feteh",'[2]Deloitte Forecast Input Real'!$2:$53,2+'[2]Deloitte Forecast Input Real'!A4,FALSE)</f>
        <v>53.5</v>
      </c>
      <c r="P13" s="17">
        <f>HLOOKUP("Mexico Maya",'[2]Deloitte Forecast Input Real'!$2:$53,2+'[2]Deloitte Forecast Input Real'!A4,FALSE)</f>
        <v>48.5</v>
      </c>
      <c r="Q13" s="17">
        <f>HLOOKUP("Russia Urals",'[2]Deloitte Forecast Input Real'!$2:$53,2+'[2]Deloitte Forecast Input Real'!A4,FALSE)</f>
        <v>54.5</v>
      </c>
      <c r="R13" s="85">
        <f>HLOOKUP("Indonesia Minas",'[2]Deloitte Forecast Input Real'!$2:$53,2+'[2]Deloitte Forecast Input Real'!A4,FALSE)</f>
        <v>53</v>
      </c>
      <c r="S13" s="53"/>
      <c r="T13" s="53"/>
      <c r="U13" s="53"/>
      <c r="V13" s="17"/>
      <c r="W13" s="53"/>
    </row>
    <row r="14" spans="1:23" x14ac:dyDescent="0.2">
      <c r="A14" s="15" t="s">
        <v>55</v>
      </c>
      <c r="B14" s="16">
        <f>B13+1</f>
        <v>2018</v>
      </c>
      <c r="C14" s="32">
        <f>HLOOKUP("WTI",'[2]Deloitte Forecast Input Real'!$2:$53,2+'[2]Deloitte Forecast Input Real'!A5,FALSE)</f>
        <v>57</v>
      </c>
      <c r="D14" s="17">
        <f>HLOOKUP("Alaskan North Slope",'[2]Deloitte Forecast Input Real'!$2:$53,2+'[2]Deloitte Forecast Input Real'!A5,FALSE)</f>
        <v>48</v>
      </c>
      <c r="E14" s="17">
        <f>HLOOKUP("California Kern River",'[2]Deloitte Forecast Input Real'!$2:$53,2+'[2]Deloitte Forecast Input Real'!A5,FALSE)</f>
        <v>52</v>
      </c>
      <c r="F14" s="17">
        <f>HLOOKUP("Louisiana Heavy Sweet",'[2]Deloitte Forecast Input Real'!$2:$53,2+'[2]Deloitte Forecast Input Real'!A5,FALSE)</f>
        <v>54.5</v>
      </c>
      <c r="G14" s="17">
        <f>HLOOKUP("Louisiana Light Sweet",'[2]Deloitte Forecast Input Real'!$2:$53,2+'[2]Deloitte Forecast Input Real'!A5,FALSE)</f>
        <v>55</v>
      </c>
      <c r="H14" s="17">
        <f>HLOOKUP("MARS Blend",'[2]Deloitte Forecast Input Real'!$2:$53,2+'[2]Deloitte Forecast Input Real'!A5,FALSE)</f>
        <v>52</v>
      </c>
      <c r="I14" s="17">
        <f>HLOOKUP("Wyoming Sweet",'[2]Deloitte Forecast Input Real'!$2:$53,2+'[2]Deloitte Forecast Input Real'!A5,FALSE)</f>
        <v>51</v>
      </c>
      <c r="J14" s="17">
        <f>HLOOKUP("Brent Spot",'[2]Deloitte Forecast Input Real'!$2:$53,2+'[2]Deloitte Forecast Input Real'!A5,FALSE)</f>
        <v>58</v>
      </c>
      <c r="K14" s="17">
        <f>HLOOKUP("Gulf Coast Argus Sour Crude Index",'[2]Deloitte Forecast Input Real'!$2:$53,2+'[2]Deloitte Forecast Input Real'!A5,FALSE)</f>
        <v>52</v>
      </c>
      <c r="L14" s="17">
        <f>HLOOKUP("Average OPEC Basket",'[2]Deloitte Forecast Input Real'!$2:$53,2+'[2]Deloitte Forecast Input Real'!A5,FALSE)</f>
        <v>56</v>
      </c>
      <c r="M14" s="17">
        <f>HLOOKUP("Venezuelan Merey Crude",'[2]Deloitte Forecast Input Real'!$2:$53,2+'[2]Deloitte Forecast Input Real'!A5,FALSE)</f>
        <v>49</v>
      </c>
      <c r="N14" s="17">
        <f>HLOOKUP("Nigerian Bonny Light",'[2]Deloitte Forecast Input Real'!$2:$53,2+'[2]Deloitte Forecast Input Real'!A5,FALSE)</f>
        <v>58.4</v>
      </c>
      <c r="O14" s="17">
        <f>HLOOKUP("Arabia UAE Dubai Feteh",'[2]Deloitte Forecast Input Real'!$2:$53,2+'[2]Deloitte Forecast Input Real'!A5,FALSE)</f>
        <v>55.5</v>
      </c>
      <c r="P14" s="17">
        <f>HLOOKUP("Mexico Maya",'[2]Deloitte Forecast Input Real'!$2:$53,2+'[2]Deloitte Forecast Input Real'!A5,FALSE)</f>
        <v>50.5</v>
      </c>
      <c r="Q14" s="17">
        <f>HLOOKUP("Russia Urals",'[2]Deloitte Forecast Input Real'!$2:$53,2+'[2]Deloitte Forecast Input Real'!A5,FALSE)</f>
        <v>56.5</v>
      </c>
      <c r="R14" s="85">
        <f>HLOOKUP("Indonesia Minas",'[2]Deloitte Forecast Input Real'!$2:$53,2+'[2]Deloitte Forecast Input Real'!A5,FALSE)</f>
        <v>55</v>
      </c>
      <c r="S14" s="53"/>
      <c r="T14" s="53"/>
      <c r="U14" s="53"/>
      <c r="V14" s="17"/>
      <c r="W14" s="53"/>
    </row>
    <row r="15" spans="1:23" x14ac:dyDescent="0.2">
      <c r="A15" s="15" t="s">
        <v>56</v>
      </c>
      <c r="B15" s="16">
        <f t="shared" ref="B15:B32" si="0">B14+1</f>
        <v>2019</v>
      </c>
      <c r="C15" s="32">
        <f>HLOOKUP("WTI",'[2]Deloitte Forecast Input Real'!$2:$53,2+'[2]Deloitte Forecast Input Real'!A6,FALSE)</f>
        <v>60</v>
      </c>
      <c r="D15" s="17">
        <f>HLOOKUP("Alaskan North Slope",'[2]Deloitte Forecast Input Real'!$2:$53,2+'[2]Deloitte Forecast Input Real'!A6,FALSE)</f>
        <v>51</v>
      </c>
      <c r="E15" s="17">
        <f>HLOOKUP("California Kern River",'[2]Deloitte Forecast Input Real'!$2:$53,2+'[2]Deloitte Forecast Input Real'!A6,FALSE)</f>
        <v>55</v>
      </c>
      <c r="F15" s="17">
        <f>HLOOKUP("Louisiana Heavy Sweet",'[2]Deloitte Forecast Input Real'!$2:$53,2+'[2]Deloitte Forecast Input Real'!A6,FALSE)</f>
        <v>57.5</v>
      </c>
      <c r="G15" s="17">
        <f>HLOOKUP("Louisiana Light Sweet",'[2]Deloitte Forecast Input Real'!$2:$53,2+'[2]Deloitte Forecast Input Real'!A6,FALSE)</f>
        <v>58</v>
      </c>
      <c r="H15" s="17">
        <f>HLOOKUP("MARS Blend",'[2]Deloitte Forecast Input Real'!$2:$53,2+'[2]Deloitte Forecast Input Real'!A6,FALSE)</f>
        <v>55</v>
      </c>
      <c r="I15" s="17">
        <f>HLOOKUP("Wyoming Sweet",'[2]Deloitte Forecast Input Real'!$2:$53,2+'[2]Deloitte Forecast Input Real'!A6,FALSE)</f>
        <v>54</v>
      </c>
      <c r="J15" s="17">
        <f>HLOOKUP("Brent Spot",'[2]Deloitte Forecast Input Real'!$2:$53,2+'[2]Deloitte Forecast Input Real'!A6,FALSE)</f>
        <v>61</v>
      </c>
      <c r="K15" s="17">
        <f>HLOOKUP("Gulf Coast Argus Sour Crude Index",'[2]Deloitte Forecast Input Real'!$2:$53,2+'[2]Deloitte Forecast Input Real'!A6,FALSE)</f>
        <v>55</v>
      </c>
      <c r="L15" s="17">
        <f>HLOOKUP("Average OPEC Basket",'[2]Deloitte Forecast Input Real'!$2:$53,2+'[2]Deloitte Forecast Input Real'!A6,FALSE)</f>
        <v>59</v>
      </c>
      <c r="M15" s="17">
        <f>HLOOKUP("Venezuelan Merey Crude",'[2]Deloitte Forecast Input Real'!$2:$53,2+'[2]Deloitte Forecast Input Real'!A6,FALSE)</f>
        <v>52</v>
      </c>
      <c r="N15" s="17">
        <f>HLOOKUP("Nigerian Bonny Light",'[2]Deloitte Forecast Input Real'!$2:$53,2+'[2]Deloitte Forecast Input Real'!A6,FALSE)</f>
        <v>61.4</v>
      </c>
      <c r="O15" s="17">
        <f>HLOOKUP("Arabia UAE Dubai Feteh",'[2]Deloitte Forecast Input Real'!$2:$53,2+'[2]Deloitte Forecast Input Real'!A6,FALSE)</f>
        <v>58.5</v>
      </c>
      <c r="P15" s="17">
        <f>HLOOKUP("Mexico Maya",'[2]Deloitte Forecast Input Real'!$2:$53,2+'[2]Deloitte Forecast Input Real'!A6,FALSE)</f>
        <v>53.5</v>
      </c>
      <c r="Q15" s="17">
        <f>HLOOKUP("Russia Urals",'[2]Deloitte Forecast Input Real'!$2:$53,2+'[2]Deloitte Forecast Input Real'!A6,FALSE)</f>
        <v>59.5</v>
      </c>
      <c r="R15" s="85">
        <f>HLOOKUP("Indonesia Minas",'[2]Deloitte Forecast Input Real'!$2:$53,2+'[2]Deloitte Forecast Input Real'!A6,FALSE)</f>
        <v>58</v>
      </c>
      <c r="S15" s="53"/>
      <c r="T15" s="53"/>
      <c r="U15" s="53"/>
      <c r="V15" s="17"/>
      <c r="W15" s="53"/>
    </row>
    <row r="16" spans="1:23" x14ac:dyDescent="0.2">
      <c r="A16" s="15" t="s">
        <v>63</v>
      </c>
      <c r="B16" s="16">
        <f t="shared" si="0"/>
        <v>2020</v>
      </c>
      <c r="C16" s="32">
        <f>HLOOKUP("WTI",'[2]Deloitte Forecast Input Real'!$2:$53,2+'[2]Deloitte Forecast Input Real'!A7,FALSE)</f>
        <v>65</v>
      </c>
      <c r="D16" s="17">
        <f>HLOOKUP("Alaskan North Slope",'[2]Deloitte Forecast Input Real'!$2:$53,2+'[2]Deloitte Forecast Input Real'!A7,FALSE)</f>
        <v>56</v>
      </c>
      <c r="E16" s="17">
        <f>HLOOKUP("California Kern River",'[2]Deloitte Forecast Input Real'!$2:$53,2+'[2]Deloitte Forecast Input Real'!A7,FALSE)</f>
        <v>60</v>
      </c>
      <c r="F16" s="17">
        <f>HLOOKUP("Louisiana Heavy Sweet",'[2]Deloitte Forecast Input Real'!$2:$53,2+'[2]Deloitte Forecast Input Real'!A7,FALSE)</f>
        <v>62.5</v>
      </c>
      <c r="G16" s="17">
        <f>HLOOKUP("Louisiana Light Sweet",'[2]Deloitte Forecast Input Real'!$2:$53,2+'[2]Deloitte Forecast Input Real'!A7,FALSE)</f>
        <v>63</v>
      </c>
      <c r="H16" s="17">
        <f>HLOOKUP("MARS Blend",'[2]Deloitte Forecast Input Real'!$2:$53,2+'[2]Deloitte Forecast Input Real'!A7,FALSE)</f>
        <v>60</v>
      </c>
      <c r="I16" s="17">
        <f>HLOOKUP("Wyoming Sweet",'[2]Deloitte Forecast Input Real'!$2:$53,2+'[2]Deloitte Forecast Input Real'!A7,FALSE)</f>
        <v>59</v>
      </c>
      <c r="J16" s="17">
        <f>HLOOKUP("Brent Spot",'[2]Deloitte Forecast Input Real'!$2:$53,2+'[2]Deloitte Forecast Input Real'!A7,FALSE)</f>
        <v>66</v>
      </c>
      <c r="K16" s="17">
        <f>HLOOKUP("Gulf Coast Argus Sour Crude Index",'[2]Deloitte Forecast Input Real'!$2:$53,2+'[2]Deloitte Forecast Input Real'!A7,FALSE)</f>
        <v>60</v>
      </c>
      <c r="L16" s="17">
        <f>HLOOKUP("Average OPEC Basket",'[2]Deloitte Forecast Input Real'!$2:$53,2+'[2]Deloitte Forecast Input Real'!A7,FALSE)</f>
        <v>64</v>
      </c>
      <c r="M16" s="17">
        <f>HLOOKUP("Venezuelan Merey Crude",'[2]Deloitte Forecast Input Real'!$2:$53,2+'[2]Deloitte Forecast Input Real'!A7,FALSE)</f>
        <v>57</v>
      </c>
      <c r="N16" s="17">
        <f>HLOOKUP("Nigerian Bonny Light",'[2]Deloitte Forecast Input Real'!$2:$53,2+'[2]Deloitte Forecast Input Real'!A7,FALSE)</f>
        <v>66.400000000000006</v>
      </c>
      <c r="O16" s="17">
        <f>HLOOKUP("Arabia UAE Dubai Feteh",'[2]Deloitte Forecast Input Real'!$2:$53,2+'[2]Deloitte Forecast Input Real'!A7,FALSE)</f>
        <v>63.5</v>
      </c>
      <c r="P16" s="17">
        <f>HLOOKUP("Mexico Maya",'[2]Deloitte Forecast Input Real'!$2:$53,2+'[2]Deloitte Forecast Input Real'!A7,FALSE)</f>
        <v>58.5</v>
      </c>
      <c r="Q16" s="17">
        <f>HLOOKUP("Russia Urals",'[2]Deloitte Forecast Input Real'!$2:$53,2+'[2]Deloitte Forecast Input Real'!A7,FALSE)</f>
        <v>64.5</v>
      </c>
      <c r="R16" s="85">
        <f>HLOOKUP("Indonesia Minas",'[2]Deloitte Forecast Input Real'!$2:$53,2+'[2]Deloitte Forecast Input Real'!A7,FALSE)</f>
        <v>63</v>
      </c>
      <c r="S16" s="53"/>
      <c r="T16" s="53"/>
      <c r="U16" s="53"/>
      <c r="V16" s="53"/>
      <c r="W16" s="53"/>
    </row>
    <row r="17" spans="1:23" x14ac:dyDescent="0.2">
      <c r="A17" s="15" t="s">
        <v>57</v>
      </c>
      <c r="B17" s="16">
        <f t="shared" si="0"/>
        <v>2021</v>
      </c>
      <c r="C17" s="32">
        <f>HLOOKUP("WTI",'[2]Deloitte Forecast Input Real'!$2:$53,2+'[2]Deloitte Forecast Input Real'!A8,FALSE)</f>
        <v>70</v>
      </c>
      <c r="D17" s="17">
        <f>HLOOKUP("Alaskan North Slope",'[2]Deloitte Forecast Input Real'!$2:$53,2+'[2]Deloitte Forecast Input Real'!A8,FALSE)</f>
        <v>61</v>
      </c>
      <c r="E17" s="17">
        <f>HLOOKUP("California Kern River",'[2]Deloitte Forecast Input Real'!$2:$53,2+'[2]Deloitte Forecast Input Real'!A8,FALSE)</f>
        <v>65</v>
      </c>
      <c r="F17" s="17">
        <f>HLOOKUP("Louisiana Heavy Sweet",'[2]Deloitte Forecast Input Real'!$2:$53,2+'[2]Deloitte Forecast Input Real'!A8,FALSE)</f>
        <v>67.5</v>
      </c>
      <c r="G17" s="17">
        <f>HLOOKUP("Louisiana Light Sweet",'[2]Deloitte Forecast Input Real'!$2:$53,2+'[2]Deloitte Forecast Input Real'!A8,FALSE)</f>
        <v>68</v>
      </c>
      <c r="H17" s="17">
        <f>HLOOKUP("MARS Blend",'[2]Deloitte Forecast Input Real'!$2:$53,2+'[2]Deloitte Forecast Input Real'!A8,FALSE)</f>
        <v>65</v>
      </c>
      <c r="I17" s="17">
        <f>HLOOKUP("Wyoming Sweet",'[2]Deloitte Forecast Input Real'!$2:$53,2+'[2]Deloitte Forecast Input Real'!A8,FALSE)</f>
        <v>64</v>
      </c>
      <c r="J17" s="17">
        <f>HLOOKUP("Brent Spot",'[2]Deloitte Forecast Input Real'!$2:$53,2+'[2]Deloitte Forecast Input Real'!A8,FALSE)</f>
        <v>71</v>
      </c>
      <c r="K17" s="17">
        <f>HLOOKUP("Gulf Coast Argus Sour Crude Index",'[2]Deloitte Forecast Input Real'!$2:$53,2+'[2]Deloitte Forecast Input Real'!A8,FALSE)</f>
        <v>65</v>
      </c>
      <c r="L17" s="17">
        <f>HLOOKUP("Average OPEC Basket",'[2]Deloitte Forecast Input Real'!$2:$53,2+'[2]Deloitte Forecast Input Real'!A8,FALSE)</f>
        <v>69</v>
      </c>
      <c r="M17" s="17">
        <f>HLOOKUP("Venezuelan Merey Crude",'[2]Deloitte Forecast Input Real'!$2:$53,2+'[2]Deloitte Forecast Input Real'!A8,FALSE)</f>
        <v>62</v>
      </c>
      <c r="N17" s="17">
        <f>HLOOKUP("Nigerian Bonny Light",'[2]Deloitte Forecast Input Real'!$2:$53,2+'[2]Deloitte Forecast Input Real'!A8,FALSE)</f>
        <v>71.400000000000006</v>
      </c>
      <c r="O17" s="17">
        <f>HLOOKUP("Arabia UAE Dubai Feteh",'[2]Deloitte Forecast Input Real'!$2:$53,2+'[2]Deloitte Forecast Input Real'!A8,FALSE)</f>
        <v>68.5</v>
      </c>
      <c r="P17" s="17">
        <f>HLOOKUP("Mexico Maya",'[2]Deloitte Forecast Input Real'!$2:$53,2+'[2]Deloitte Forecast Input Real'!A8,FALSE)</f>
        <v>63.5</v>
      </c>
      <c r="Q17" s="17">
        <f>HLOOKUP("Russia Urals",'[2]Deloitte Forecast Input Real'!$2:$53,2+'[2]Deloitte Forecast Input Real'!A8,FALSE)</f>
        <v>69.5</v>
      </c>
      <c r="R17" s="85">
        <f>HLOOKUP("Indonesia Minas",'[2]Deloitte Forecast Input Real'!$2:$53,2+'[2]Deloitte Forecast Input Real'!A8,FALSE)</f>
        <v>68</v>
      </c>
      <c r="S17" s="53"/>
      <c r="T17" s="53"/>
      <c r="U17" s="53"/>
      <c r="V17" s="53"/>
      <c r="W17" s="53"/>
    </row>
    <row r="18" spans="1:23" x14ac:dyDescent="0.2">
      <c r="A18" s="15" t="s">
        <v>58</v>
      </c>
      <c r="B18" s="16">
        <f t="shared" si="0"/>
        <v>2022</v>
      </c>
      <c r="C18" s="32">
        <f>HLOOKUP("WTI",'[2]Deloitte Forecast Input Real'!$2:$53,2+'[2]Deloitte Forecast Input Real'!A9,FALSE)</f>
        <v>75</v>
      </c>
      <c r="D18" s="17">
        <f>HLOOKUP("Alaskan North Slope",'[2]Deloitte Forecast Input Real'!$2:$53,2+'[2]Deloitte Forecast Input Real'!A9,FALSE)</f>
        <v>66</v>
      </c>
      <c r="E18" s="17">
        <f>HLOOKUP("California Kern River",'[2]Deloitte Forecast Input Real'!$2:$53,2+'[2]Deloitte Forecast Input Real'!A9,FALSE)</f>
        <v>70</v>
      </c>
      <c r="F18" s="17">
        <f>HLOOKUP("Louisiana Heavy Sweet",'[2]Deloitte Forecast Input Real'!$2:$53,2+'[2]Deloitte Forecast Input Real'!A9,FALSE)</f>
        <v>72.5</v>
      </c>
      <c r="G18" s="17">
        <f>HLOOKUP("Louisiana Light Sweet",'[2]Deloitte Forecast Input Real'!$2:$53,2+'[2]Deloitte Forecast Input Real'!A9,FALSE)</f>
        <v>73</v>
      </c>
      <c r="H18" s="17">
        <f>HLOOKUP("MARS Blend",'[2]Deloitte Forecast Input Real'!$2:$53,2+'[2]Deloitte Forecast Input Real'!A9,FALSE)</f>
        <v>70</v>
      </c>
      <c r="I18" s="17">
        <f>HLOOKUP("Wyoming Sweet",'[2]Deloitte Forecast Input Real'!$2:$53,2+'[2]Deloitte Forecast Input Real'!A9,FALSE)</f>
        <v>69</v>
      </c>
      <c r="J18" s="17">
        <f>HLOOKUP("Brent Spot",'[2]Deloitte Forecast Input Real'!$2:$53,2+'[2]Deloitte Forecast Input Real'!A9,FALSE)</f>
        <v>76</v>
      </c>
      <c r="K18" s="17">
        <f>HLOOKUP("Gulf Coast Argus Sour Crude Index",'[2]Deloitte Forecast Input Real'!$2:$53,2+'[2]Deloitte Forecast Input Real'!A9,FALSE)</f>
        <v>70</v>
      </c>
      <c r="L18" s="17">
        <f>HLOOKUP("Average OPEC Basket",'[2]Deloitte Forecast Input Real'!$2:$53,2+'[2]Deloitte Forecast Input Real'!A9,FALSE)</f>
        <v>74</v>
      </c>
      <c r="M18" s="17">
        <f>HLOOKUP("Venezuelan Merey Crude",'[2]Deloitte Forecast Input Real'!$2:$53,2+'[2]Deloitte Forecast Input Real'!A9,FALSE)</f>
        <v>67</v>
      </c>
      <c r="N18" s="17">
        <f>HLOOKUP("Nigerian Bonny Light",'[2]Deloitte Forecast Input Real'!$2:$53,2+'[2]Deloitte Forecast Input Real'!A9,FALSE)</f>
        <v>76.400000000000006</v>
      </c>
      <c r="O18" s="17">
        <f>HLOOKUP("Arabia UAE Dubai Feteh",'[2]Deloitte Forecast Input Real'!$2:$53,2+'[2]Deloitte Forecast Input Real'!A9,FALSE)</f>
        <v>73.5</v>
      </c>
      <c r="P18" s="17">
        <f>HLOOKUP("Mexico Maya",'[2]Deloitte Forecast Input Real'!$2:$53,2+'[2]Deloitte Forecast Input Real'!A9,FALSE)</f>
        <v>68.5</v>
      </c>
      <c r="Q18" s="17">
        <f>HLOOKUP("Russia Urals",'[2]Deloitte Forecast Input Real'!$2:$53,2+'[2]Deloitte Forecast Input Real'!A9,FALSE)</f>
        <v>74.5</v>
      </c>
      <c r="R18" s="85">
        <f>HLOOKUP("Indonesia Minas",'[2]Deloitte Forecast Input Real'!$2:$53,2+'[2]Deloitte Forecast Input Real'!A9,FALSE)</f>
        <v>73</v>
      </c>
      <c r="S18" s="53"/>
      <c r="T18" s="53"/>
      <c r="U18" s="53"/>
      <c r="V18" s="53"/>
      <c r="W18" s="53"/>
    </row>
    <row r="19" spans="1:23" x14ac:dyDescent="0.2">
      <c r="A19" s="15" t="s">
        <v>53</v>
      </c>
      <c r="B19" s="16">
        <f t="shared" si="0"/>
        <v>2023</v>
      </c>
      <c r="C19" s="32">
        <f>HLOOKUP("WTI",'[2]Deloitte Forecast Input Real'!$2:$53,2+'[2]Deloitte Forecast Input Real'!A10,FALSE)</f>
        <v>75</v>
      </c>
      <c r="D19" s="17">
        <f>HLOOKUP("Alaskan North Slope",'[2]Deloitte Forecast Input Real'!$2:$53,2+'[2]Deloitte Forecast Input Real'!A10,FALSE)</f>
        <v>66</v>
      </c>
      <c r="E19" s="17">
        <f>HLOOKUP("California Kern River",'[2]Deloitte Forecast Input Real'!$2:$53,2+'[2]Deloitte Forecast Input Real'!A10,FALSE)</f>
        <v>70</v>
      </c>
      <c r="F19" s="17">
        <f>HLOOKUP("Louisiana Heavy Sweet",'[2]Deloitte Forecast Input Real'!$2:$53,2+'[2]Deloitte Forecast Input Real'!A10,FALSE)</f>
        <v>72.5</v>
      </c>
      <c r="G19" s="17">
        <f>HLOOKUP("Louisiana Light Sweet",'[2]Deloitte Forecast Input Real'!$2:$53,2+'[2]Deloitte Forecast Input Real'!A10,FALSE)</f>
        <v>73</v>
      </c>
      <c r="H19" s="17">
        <f>HLOOKUP("MARS Blend",'[2]Deloitte Forecast Input Real'!$2:$53,2+'[2]Deloitte Forecast Input Real'!A10,FALSE)</f>
        <v>70</v>
      </c>
      <c r="I19" s="17">
        <f>HLOOKUP("Wyoming Sweet",'[2]Deloitte Forecast Input Real'!$2:$53,2+'[2]Deloitte Forecast Input Real'!A10,FALSE)</f>
        <v>69</v>
      </c>
      <c r="J19" s="17">
        <f>HLOOKUP("Brent Spot",'[2]Deloitte Forecast Input Real'!$2:$53,2+'[2]Deloitte Forecast Input Real'!A10,FALSE)</f>
        <v>76</v>
      </c>
      <c r="K19" s="17">
        <f>HLOOKUP("Gulf Coast Argus Sour Crude Index",'[2]Deloitte Forecast Input Real'!$2:$53,2+'[2]Deloitte Forecast Input Real'!A10,FALSE)</f>
        <v>70</v>
      </c>
      <c r="L19" s="17">
        <f>HLOOKUP("Average OPEC Basket",'[2]Deloitte Forecast Input Real'!$2:$53,2+'[2]Deloitte Forecast Input Real'!A10,FALSE)</f>
        <v>74</v>
      </c>
      <c r="M19" s="17">
        <f>HLOOKUP("Venezuelan Merey Crude",'[2]Deloitte Forecast Input Real'!$2:$53,2+'[2]Deloitte Forecast Input Real'!A10,FALSE)</f>
        <v>67</v>
      </c>
      <c r="N19" s="17">
        <f>HLOOKUP("Nigerian Bonny Light",'[2]Deloitte Forecast Input Real'!$2:$53,2+'[2]Deloitte Forecast Input Real'!A10,FALSE)</f>
        <v>76.400000000000006</v>
      </c>
      <c r="O19" s="17">
        <f>HLOOKUP("Arabia UAE Dubai Feteh",'[2]Deloitte Forecast Input Real'!$2:$53,2+'[2]Deloitte Forecast Input Real'!A10,FALSE)</f>
        <v>73.5</v>
      </c>
      <c r="P19" s="17">
        <f>HLOOKUP("Mexico Maya",'[2]Deloitte Forecast Input Real'!$2:$53,2+'[2]Deloitte Forecast Input Real'!A10,FALSE)</f>
        <v>68.5</v>
      </c>
      <c r="Q19" s="17">
        <f>HLOOKUP("Russia Urals",'[2]Deloitte Forecast Input Real'!$2:$53,2+'[2]Deloitte Forecast Input Real'!A10,FALSE)</f>
        <v>74.5</v>
      </c>
      <c r="R19" s="85">
        <f>HLOOKUP("Indonesia Minas",'[2]Deloitte Forecast Input Real'!$2:$53,2+'[2]Deloitte Forecast Input Real'!A10,FALSE)</f>
        <v>73</v>
      </c>
      <c r="S19" s="53"/>
      <c r="T19" s="53"/>
      <c r="U19" s="53"/>
      <c r="V19" s="53"/>
      <c r="W19" s="53"/>
    </row>
    <row r="20" spans="1:23" x14ac:dyDescent="0.2">
      <c r="A20" s="15" t="s">
        <v>54</v>
      </c>
      <c r="B20" s="16">
        <f t="shared" si="0"/>
        <v>2024</v>
      </c>
      <c r="C20" s="32">
        <f>HLOOKUP("WTI",'[2]Deloitte Forecast Input Real'!$2:$53,2+'[2]Deloitte Forecast Input Real'!A11,FALSE)</f>
        <v>75</v>
      </c>
      <c r="D20" s="17">
        <f>HLOOKUP("Alaskan North Slope",'[2]Deloitte Forecast Input Real'!$2:$53,2+'[2]Deloitte Forecast Input Real'!A11,FALSE)</f>
        <v>66</v>
      </c>
      <c r="E20" s="17">
        <f>HLOOKUP("California Kern River",'[2]Deloitte Forecast Input Real'!$2:$53,2+'[2]Deloitte Forecast Input Real'!A11,FALSE)</f>
        <v>70</v>
      </c>
      <c r="F20" s="17">
        <f>HLOOKUP("Louisiana Heavy Sweet",'[2]Deloitte Forecast Input Real'!$2:$53,2+'[2]Deloitte Forecast Input Real'!A11,FALSE)</f>
        <v>72.5</v>
      </c>
      <c r="G20" s="17">
        <f>HLOOKUP("Louisiana Light Sweet",'[2]Deloitte Forecast Input Real'!$2:$53,2+'[2]Deloitte Forecast Input Real'!A11,FALSE)</f>
        <v>73</v>
      </c>
      <c r="H20" s="17">
        <f>HLOOKUP("MARS Blend",'[2]Deloitte Forecast Input Real'!$2:$53,2+'[2]Deloitte Forecast Input Real'!A11,FALSE)</f>
        <v>70</v>
      </c>
      <c r="I20" s="17">
        <f>HLOOKUP("Wyoming Sweet",'[2]Deloitte Forecast Input Real'!$2:$53,2+'[2]Deloitte Forecast Input Real'!A11,FALSE)</f>
        <v>69</v>
      </c>
      <c r="J20" s="17">
        <f>HLOOKUP("Brent Spot",'[2]Deloitte Forecast Input Real'!$2:$53,2+'[2]Deloitte Forecast Input Real'!A11,FALSE)</f>
        <v>76</v>
      </c>
      <c r="K20" s="17">
        <f>HLOOKUP("Gulf Coast Argus Sour Crude Index",'[2]Deloitte Forecast Input Real'!$2:$53,2+'[2]Deloitte Forecast Input Real'!A11,FALSE)</f>
        <v>70</v>
      </c>
      <c r="L20" s="17">
        <f>HLOOKUP("Average OPEC Basket",'[2]Deloitte Forecast Input Real'!$2:$53,2+'[2]Deloitte Forecast Input Real'!A11,FALSE)</f>
        <v>74</v>
      </c>
      <c r="M20" s="17">
        <f>HLOOKUP("Venezuelan Merey Crude",'[2]Deloitte Forecast Input Real'!$2:$53,2+'[2]Deloitte Forecast Input Real'!A11,FALSE)</f>
        <v>67</v>
      </c>
      <c r="N20" s="17">
        <f>HLOOKUP("Nigerian Bonny Light",'[2]Deloitte Forecast Input Real'!$2:$53,2+'[2]Deloitte Forecast Input Real'!A11,FALSE)</f>
        <v>76.400000000000006</v>
      </c>
      <c r="O20" s="17">
        <f>HLOOKUP("Arabia UAE Dubai Feteh",'[2]Deloitte Forecast Input Real'!$2:$53,2+'[2]Deloitte Forecast Input Real'!A11,FALSE)</f>
        <v>73.5</v>
      </c>
      <c r="P20" s="17">
        <f>HLOOKUP("Mexico Maya",'[2]Deloitte Forecast Input Real'!$2:$53,2+'[2]Deloitte Forecast Input Real'!A11,FALSE)</f>
        <v>68.5</v>
      </c>
      <c r="Q20" s="17">
        <f>HLOOKUP("Russia Urals",'[2]Deloitte Forecast Input Real'!$2:$53,2+'[2]Deloitte Forecast Input Real'!A11,FALSE)</f>
        <v>74.5</v>
      </c>
      <c r="R20" s="85">
        <f>HLOOKUP("Indonesia Minas",'[2]Deloitte Forecast Input Real'!$2:$53,2+'[2]Deloitte Forecast Input Real'!A11,FALSE)</f>
        <v>73</v>
      </c>
      <c r="S20" s="53"/>
      <c r="T20" s="53"/>
      <c r="U20" s="53"/>
      <c r="V20" s="53"/>
      <c r="W20" s="53"/>
    </row>
    <row r="21" spans="1:23" x14ac:dyDescent="0.2">
      <c r="A21" s="15"/>
      <c r="B21" s="16">
        <f t="shared" si="0"/>
        <v>2025</v>
      </c>
      <c r="C21" s="32">
        <f>HLOOKUP("WTI",'[2]Deloitte Forecast Input Real'!$2:$53,2+'[2]Deloitte Forecast Input Real'!A12,FALSE)</f>
        <v>75</v>
      </c>
      <c r="D21" s="17">
        <f>HLOOKUP("Alaskan North Slope",'[2]Deloitte Forecast Input Real'!$2:$53,2+'[2]Deloitte Forecast Input Real'!A12,FALSE)</f>
        <v>66</v>
      </c>
      <c r="E21" s="17">
        <f>HLOOKUP("California Kern River",'[2]Deloitte Forecast Input Real'!$2:$53,2+'[2]Deloitte Forecast Input Real'!A12,FALSE)</f>
        <v>70</v>
      </c>
      <c r="F21" s="17">
        <f>HLOOKUP("Louisiana Heavy Sweet",'[2]Deloitte Forecast Input Real'!$2:$53,2+'[2]Deloitte Forecast Input Real'!A12,FALSE)</f>
        <v>72.5</v>
      </c>
      <c r="G21" s="17">
        <f>HLOOKUP("Louisiana Light Sweet",'[2]Deloitte Forecast Input Real'!$2:$53,2+'[2]Deloitte Forecast Input Real'!A12,FALSE)</f>
        <v>73</v>
      </c>
      <c r="H21" s="17">
        <f>HLOOKUP("MARS Blend",'[2]Deloitte Forecast Input Real'!$2:$53,2+'[2]Deloitte Forecast Input Real'!A12,FALSE)</f>
        <v>70</v>
      </c>
      <c r="I21" s="17">
        <f>HLOOKUP("Wyoming Sweet",'[2]Deloitte Forecast Input Real'!$2:$53,2+'[2]Deloitte Forecast Input Real'!A12,FALSE)</f>
        <v>69</v>
      </c>
      <c r="J21" s="17">
        <f>HLOOKUP("Brent Spot",'[2]Deloitte Forecast Input Real'!$2:$53,2+'[2]Deloitte Forecast Input Real'!A12,FALSE)</f>
        <v>76</v>
      </c>
      <c r="K21" s="17">
        <f>HLOOKUP("Gulf Coast Argus Sour Crude Index",'[2]Deloitte Forecast Input Real'!$2:$53,2+'[2]Deloitte Forecast Input Real'!A12,FALSE)</f>
        <v>70</v>
      </c>
      <c r="L21" s="17">
        <f>HLOOKUP("Average OPEC Basket",'[2]Deloitte Forecast Input Real'!$2:$53,2+'[2]Deloitte Forecast Input Real'!A12,FALSE)</f>
        <v>74</v>
      </c>
      <c r="M21" s="17">
        <f>HLOOKUP("Venezuelan Merey Crude",'[2]Deloitte Forecast Input Real'!$2:$53,2+'[2]Deloitte Forecast Input Real'!A12,FALSE)</f>
        <v>67</v>
      </c>
      <c r="N21" s="17">
        <f>HLOOKUP("Nigerian Bonny Light",'[2]Deloitte Forecast Input Real'!$2:$53,2+'[2]Deloitte Forecast Input Real'!A12,FALSE)</f>
        <v>76.400000000000006</v>
      </c>
      <c r="O21" s="17">
        <f>HLOOKUP("Arabia UAE Dubai Feteh",'[2]Deloitte Forecast Input Real'!$2:$53,2+'[2]Deloitte Forecast Input Real'!A12,FALSE)</f>
        <v>73.5</v>
      </c>
      <c r="P21" s="17">
        <f>HLOOKUP("Mexico Maya",'[2]Deloitte Forecast Input Real'!$2:$53,2+'[2]Deloitte Forecast Input Real'!A12,FALSE)</f>
        <v>68.5</v>
      </c>
      <c r="Q21" s="17">
        <f>HLOOKUP("Russia Urals",'[2]Deloitte Forecast Input Real'!$2:$53,2+'[2]Deloitte Forecast Input Real'!A12,FALSE)</f>
        <v>74.5</v>
      </c>
      <c r="R21" s="85">
        <f>HLOOKUP("Indonesia Minas",'[2]Deloitte Forecast Input Real'!$2:$53,2+'[2]Deloitte Forecast Input Real'!A12,FALSE)</f>
        <v>73</v>
      </c>
      <c r="S21" s="53"/>
      <c r="T21" s="53"/>
      <c r="U21" s="53"/>
      <c r="V21" s="53"/>
      <c r="W21" s="53"/>
    </row>
    <row r="22" spans="1:23" x14ac:dyDescent="0.2">
      <c r="A22" s="11"/>
      <c r="B22" s="16">
        <f t="shared" si="0"/>
        <v>2026</v>
      </c>
      <c r="C22" s="32">
        <f>HLOOKUP("WTI",'[2]Deloitte Forecast Input Real'!$2:$53,2+'[2]Deloitte Forecast Input Real'!A13,FALSE)</f>
        <v>75</v>
      </c>
      <c r="D22" s="17">
        <f>HLOOKUP("Alaskan North Slope",'[2]Deloitte Forecast Input Real'!$2:$53,2+'[2]Deloitte Forecast Input Real'!A13,FALSE)</f>
        <v>66</v>
      </c>
      <c r="E22" s="17">
        <f>HLOOKUP("California Kern River",'[2]Deloitte Forecast Input Real'!$2:$53,2+'[2]Deloitte Forecast Input Real'!A13,FALSE)</f>
        <v>70</v>
      </c>
      <c r="F22" s="17">
        <f>HLOOKUP("Louisiana Heavy Sweet",'[2]Deloitte Forecast Input Real'!$2:$53,2+'[2]Deloitte Forecast Input Real'!A13,FALSE)</f>
        <v>72.5</v>
      </c>
      <c r="G22" s="17">
        <f>HLOOKUP("Louisiana Light Sweet",'[2]Deloitte Forecast Input Real'!$2:$53,2+'[2]Deloitte Forecast Input Real'!A13,FALSE)</f>
        <v>73</v>
      </c>
      <c r="H22" s="17">
        <f>HLOOKUP("MARS Blend",'[2]Deloitte Forecast Input Real'!$2:$53,2+'[2]Deloitte Forecast Input Real'!A13,FALSE)</f>
        <v>70</v>
      </c>
      <c r="I22" s="17">
        <f>HLOOKUP("Wyoming Sweet",'[2]Deloitte Forecast Input Real'!$2:$53,2+'[2]Deloitte Forecast Input Real'!A13,FALSE)</f>
        <v>69</v>
      </c>
      <c r="J22" s="17">
        <f>HLOOKUP("Brent Spot",'[2]Deloitte Forecast Input Real'!$2:$53,2+'[2]Deloitte Forecast Input Real'!A13,FALSE)</f>
        <v>76</v>
      </c>
      <c r="K22" s="17">
        <f>HLOOKUP("Gulf Coast Argus Sour Crude Index",'[2]Deloitte Forecast Input Real'!$2:$53,2+'[2]Deloitte Forecast Input Real'!A13,FALSE)</f>
        <v>70</v>
      </c>
      <c r="L22" s="17">
        <f>HLOOKUP("Average OPEC Basket",'[2]Deloitte Forecast Input Real'!$2:$53,2+'[2]Deloitte Forecast Input Real'!A13,FALSE)</f>
        <v>74</v>
      </c>
      <c r="M22" s="17">
        <f>HLOOKUP("Venezuelan Merey Crude",'[2]Deloitte Forecast Input Real'!$2:$53,2+'[2]Deloitte Forecast Input Real'!A13,FALSE)</f>
        <v>67</v>
      </c>
      <c r="N22" s="17">
        <f>HLOOKUP("Nigerian Bonny Light",'[2]Deloitte Forecast Input Real'!$2:$53,2+'[2]Deloitte Forecast Input Real'!A13,FALSE)</f>
        <v>76.400000000000006</v>
      </c>
      <c r="O22" s="17">
        <f>HLOOKUP("Arabia UAE Dubai Feteh",'[2]Deloitte Forecast Input Real'!$2:$53,2+'[2]Deloitte Forecast Input Real'!A13,FALSE)</f>
        <v>73.5</v>
      </c>
      <c r="P22" s="17">
        <f>HLOOKUP("Mexico Maya",'[2]Deloitte Forecast Input Real'!$2:$53,2+'[2]Deloitte Forecast Input Real'!A13,FALSE)</f>
        <v>68.5</v>
      </c>
      <c r="Q22" s="17">
        <f>HLOOKUP("Russia Urals",'[2]Deloitte Forecast Input Real'!$2:$53,2+'[2]Deloitte Forecast Input Real'!A13,FALSE)</f>
        <v>74.5</v>
      </c>
      <c r="R22" s="85">
        <f>HLOOKUP("Indonesia Minas",'[2]Deloitte Forecast Input Real'!$2:$53,2+'[2]Deloitte Forecast Input Real'!A13,FALSE)</f>
        <v>73</v>
      </c>
      <c r="S22" s="53"/>
      <c r="T22" s="53"/>
      <c r="U22" s="53"/>
      <c r="V22" s="53"/>
      <c r="W22" s="53"/>
    </row>
    <row r="23" spans="1:23" x14ac:dyDescent="0.2">
      <c r="A23" s="11"/>
      <c r="B23" s="16">
        <f t="shared" si="0"/>
        <v>2027</v>
      </c>
      <c r="C23" s="32">
        <f>HLOOKUP("WTI",'[2]Deloitte Forecast Input Real'!$2:$53,2+'[2]Deloitte Forecast Input Real'!A14,FALSE)</f>
        <v>75</v>
      </c>
      <c r="D23" s="17">
        <f>HLOOKUP("Alaskan North Slope",'[2]Deloitte Forecast Input Real'!$2:$53,2+'[2]Deloitte Forecast Input Real'!A14,FALSE)</f>
        <v>66</v>
      </c>
      <c r="E23" s="17">
        <f>HLOOKUP("California Kern River",'[2]Deloitte Forecast Input Real'!$2:$53,2+'[2]Deloitte Forecast Input Real'!A14,FALSE)</f>
        <v>70</v>
      </c>
      <c r="F23" s="17">
        <f>HLOOKUP("Louisiana Heavy Sweet",'[2]Deloitte Forecast Input Real'!$2:$53,2+'[2]Deloitte Forecast Input Real'!A14,FALSE)</f>
        <v>72.5</v>
      </c>
      <c r="G23" s="17">
        <f>HLOOKUP("Louisiana Light Sweet",'[2]Deloitte Forecast Input Real'!$2:$53,2+'[2]Deloitte Forecast Input Real'!A14,FALSE)</f>
        <v>73</v>
      </c>
      <c r="H23" s="17">
        <f>HLOOKUP("MARS Blend",'[2]Deloitte Forecast Input Real'!$2:$53,2+'[2]Deloitte Forecast Input Real'!A14,FALSE)</f>
        <v>70</v>
      </c>
      <c r="I23" s="17">
        <f>HLOOKUP("Wyoming Sweet",'[2]Deloitte Forecast Input Real'!$2:$53,2+'[2]Deloitte Forecast Input Real'!A14,FALSE)</f>
        <v>69</v>
      </c>
      <c r="J23" s="17">
        <f>HLOOKUP("Brent Spot",'[2]Deloitte Forecast Input Real'!$2:$53,2+'[2]Deloitte Forecast Input Real'!A14,FALSE)</f>
        <v>76</v>
      </c>
      <c r="K23" s="17">
        <f>HLOOKUP("Gulf Coast Argus Sour Crude Index",'[2]Deloitte Forecast Input Real'!$2:$53,2+'[2]Deloitte Forecast Input Real'!A14,FALSE)</f>
        <v>70</v>
      </c>
      <c r="L23" s="17">
        <f>HLOOKUP("Average OPEC Basket",'[2]Deloitte Forecast Input Real'!$2:$53,2+'[2]Deloitte Forecast Input Real'!A14,FALSE)</f>
        <v>74</v>
      </c>
      <c r="M23" s="17">
        <f>HLOOKUP("Venezuelan Merey Crude",'[2]Deloitte Forecast Input Real'!$2:$53,2+'[2]Deloitte Forecast Input Real'!A14,FALSE)</f>
        <v>67</v>
      </c>
      <c r="N23" s="17">
        <f>HLOOKUP("Nigerian Bonny Light",'[2]Deloitte Forecast Input Real'!$2:$53,2+'[2]Deloitte Forecast Input Real'!A14,FALSE)</f>
        <v>76.400000000000006</v>
      </c>
      <c r="O23" s="17">
        <f>HLOOKUP("Arabia UAE Dubai Feteh",'[2]Deloitte Forecast Input Real'!$2:$53,2+'[2]Deloitte Forecast Input Real'!A14,FALSE)</f>
        <v>73.5</v>
      </c>
      <c r="P23" s="17">
        <f>HLOOKUP("Mexico Maya",'[2]Deloitte Forecast Input Real'!$2:$53,2+'[2]Deloitte Forecast Input Real'!A14,FALSE)</f>
        <v>68.5</v>
      </c>
      <c r="Q23" s="17">
        <f>HLOOKUP("Russia Urals",'[2]Deloitte Forecast Input Real'!$2:$53,2+'[2]Deloitte Forecast Input Real'!A14,FALSE)</f>
        <v>74.5</v>
      </c>
      <c r="R23" s="85">
        <f>HLOOKUP("Indonesia Minas",'[2]Deloitte Forecast Input Real'!$2:$53,2+'[2]Deloitte Forecast Input Real'!A14,FALSE)</f>
        <v>73</v>
      </c>
      <c r="S23" s="53"/>
      <c r="T23" s="53"/>
      <c r="U23" s="53"/>
      <c r="V23" s="53"/>
      <c r="W23" s="53"/>
    </row>
    <row r="24" spans="1:23" x14ac:dyDescent="0.2">
      <c r="A24" s="11"/>
      <c r="B24" s="16">
        <f t="shared" si="0"/>
        <v>2028</v>
      </c>
      <c r="C24" s="32">
        <f>HLOOKUP("WTI",'[2]Deloitte Forecast Input Real'!$2:$53,2+'[2]Deloitte Forecast Input Real'!A15,FALSE)</f>
        <v>75</v>
      </c>
      <c r="D24" s="17">
        <f>HLOOKUP("Alaskan North Slope",'[2]Deloitte Forecast Input Real'!$2:$53,2+'[2]Deloitte Forecast Input Real'!A15,FALSE)</f>
        <v>66</v>
      </c>
      <c r="E24" s="17">
        <f>HLOOKUP("California Kern River",'[2]Deloitte Forecast Input Real'!$2:$53,2+'[2]Deloitte Forecast Input Real'!A15,FALSE)</f>
        <v>70</v>
      </c>
      <c r="F24" s="17">
        <f>HLOOKUP("Louisiana Heavy Sweet",'[2]Deloitte Forecast Input Real'!$2:$53,2+'[2]Deloitte Forecast Input Real'!A15,FALSE)</f>
        <v>72.5</v>
      </c>
      <c r="G24" s="17">
        <f>HLOOKUP("Louisiana Light Sweet",'[2]Deloitte Forecast Input Real'!$2:$53,2+'[2]Deloitte Forecast Input Real'!A15,FALSE)</f>
        <v>73</v>
      </c>
      <c r="H24" s="17">
        <f>HLOOKUP("MARS Blend",'[2]Deloitte Forecast Input Real'!$2:$53,2+'[2]Deloitte Forecast Input Real'!A15,FALSE)</f>
        <v>70</v>
      </c>
      <c r="I24" s="17">
        <f>HLOOKUP("Wyoming Sweet",'[2]Deloitte Forecast Input Real'!$2:$53,2+'[2]Deloitte Forecast Input Real'!A15,FALSE)</f>
        <v>69</v>
      </c>
      <c r="J24" s="17">
        <f>HLOOKUP("Brent Spot",'[2]Deloitte Forecast Input Real'!$2:$53,2+'[2]Deloitte Forecast Input Real'!A15,FALSE)</f>
        <v>76</v>
      </c>
      <c r="K24" s="17">
        <f>HLOOKUP("Gulf Coast Argus Sour Crude Index",'[2]Deloitte Forecast Input Real'!$2:$53,2+'[2]Deloitte Forecast Input Real'!A15,FALSE)</f>
        <v>70</v>
      </c>
      <c r="L24" s="17">
        <f>HLOOKUP("Average OPEC Basket",'[2]Deloitte Forecast Input Real'!$2:$53,2+'[2]Deloitte Forecast Input Real'!A15,FALSE)</f>
        <v>74</v>
      </c>
      <c r="M24" s="17">
        <f>HLOOKUP("Venezuelan Merey Crude",'[2]Deloitte Forecast Input Real'!$2:$53,2+'[2]Deloitte Forecast Input Real'!A15,FALSE)</f>
        <v>67</v>
      </c>
      <c r="N24" s="17">
        <f>HLOOKUP("Nigerian Bonny Light",'[2]Deloitte Forecast Input Real'!$2:$53,2+'[2]Deloitte Forecast Input Real'!A15,FALSE)</f>
        <v>76.400000000000006</v>
      </c>
      <c r="O24" s="17">
        <f>HLOOKUP("Arabia UAE Dubai Feteh",'[2]Deloitte Forecast Input Real'!$2:$53,2+'[2]Deloitte Forecast Input Real'!A15,FALSE)</f>
        <v>73.5</v>
      </c>
      <c r="P24" s="17">
        <f>HLOOKUP("Mexico Maya",'[2]Deloitte Forecast Input Real'!$2:$53,2+'[2]Deloitte Forecast Input Real'!A15,FALSE)</f>
        <v>68.5</v>
      </c>
      <c r="Q24" s="17">
        <f>HLOOKUP("Russia Urals",'[2]Deloitte Forecast Input Real'!$2:$53,2+'[2]Deloitte Forecast Input Real'!A15,FALSE)</f>
        <v>74.5</v>
      </c>
      <c r="R24" s="85">
        <f>HLOOKUP("Indonesia Minas",'[2]Deloitte Forecast Input Real'!$2:$53,2+'[2]Deloitte Forecast Input Real'!A15,FALSE)</f>
        <v>73</v>
      </c>
      <c r="S24" s="53"/>
      <c r="T24" s="53"/>
      <c r="U24" s="53"/>
      <c r="V24" s="53"/>
      <c r="W24" s="53"/>
    </row>
    <row r="25" spans="1:23" x14ac:dyDescent="0.2">
      <c r="A25" s="11"/>
      <c r="B25" s="16">
        <f t="shared" si="0"/>
        <v>2029</v>
      </c>
      <c r="C25" s="32">
        <f>HLOOKUP("WTI",'[2]Deloitte Forecast Input Real'!$2:$53,2+'[2]Deloitte Forecast Input Real'!A16,FALSE)</f>
        <v>75</v>
      </c>
      <c r="D25" s="17">
        <f>HLOOKUP("Alaskan North Slope",'[2]Deloitte Forecast Input Real'!$2:$53,2+'[2]Deloitte Forecast Input Real'!A16,FALSE)</f>
        <v>66</v>
      </c>
      <c r="E25" s="17">
        <f>HLOOKUP("California Kern River",'[2]Deloitte Forecast Input Real'!$2:$53,2+'[2]Deloitte Forecast Input Real'!A16,FALSE)</f>
        <v>70</v>
      </c>
      <c r="F25" s="17">
        <f>HLOOKUP("Louisiana Heavy Sweet",'[2]Deloitte Forecast Input Real'!$2:$53,2+'[2]Deloitte Forecast Input Real'!A16,FALSE)</f>
        <v>72.5</v>
      </c>
      <c r="G25" s="17">
        <f>HLOOKUP("Louisiana Light Sweet",'[2]Deloitte Forecast Input Real'!$2:$53,2+'[2]Deloitte Forecast Input Real'!A16,FALSE)</f>
        <v>73</v>
      </c>
      <c r="H25" s="17">
        <f>HLOOKUP("MARS Blend",'[2]Deloitte Forecast Input Real'!$2:$53,2+'[2]Deloitte Forecast Input Real'!A16,FALSE)</f>
        <v>70</v>
      </c>
      <c r="I25" s="17">
        <f>HLOOKUP("Wyoming Sweet",'[2]Deloitte Forecast Input Real'!$2:$53,2+'[2]Deloitte Forecast Input Real'!A16,FALSE)</f>
        <v>69</v>
      </c>
      <c r="J25" s="17">
        <f>HLOOKUP("Brent Spot",'[2]Deloitte Forecast Input Real'!$2:$53,2+'[2]Deloitte Forecast Input Real'!A16,FALSE)</f>
        <v>76</v>
      </c>
      <c r="K25" s="17">
        <f>HLOOKUP("Gulf Coast Argus Sour Crude Index",'[2]Deloitte Forecast Input Real'!$2:$53,2+'[2]Deloitte Forecast Input Real'!A16,FALSE)</f>
        <v>70</v>
      </c>
      <c r="L25" s="17">
        <f>HLOOKUP("Average OPEC Basket",'[2]Deloitte Forecast Input Real'!$2:$53,2+'[2]Deloitte Forecast Input Real'!A16,FALSE)</f>
        <v>74</v>
      </c>
      <c r="M25" s="17">
        <f>HLOOKUP("Venezuelan Merey Crude",'[2]Deloitte Forecast Input Real'!$2:$53,2+'[2]Deloitte Forecast Input Real'!A16,FALSE)</f>
        <v>67</v>
      </c>
      <c r="N25" s="17">
        <f>HLOOKUP("Nigerian Bonny Light",'[2]Deloitte Forecast Input Real'!$2:$53,2+'[2]Deloitte Forecast Input Real'!A16,FALSE)</f>
        <v>76.400000000000006</v>
      </c>
      <c r="O25" s="17">
        <f>HLOOKUP("Arabia UAE Dubai Feteh",'[2]Deloitte Forecast Input Real'!$2:$53,2+'[2]Deloitte Forecast Input Real'!A16,FALSE)</f>
        <v>73.5</v>
      </c>
      <c r="P25" s="17">
        <f>HLOOKUP("Mexico Maya",'[2]Deloitte Forecast Input Real'!$2:$53,2+'[2]Deloitte Forecast Input Real'!A16,FALSE)</f>
        <v>68.5</v>
      </c>
      <c r="Q25" s="17">
        <f>HLOOKUP("Russia Urals",'[2]Deloitte Forecast Input Real'!$2:$53,2+'[2]Deloitte Forecast Input Real'!A16,FALSE)</f>
        <v>74.5</v>
      </c>
      <c r="R25" s="85">
        <f>HLOOKUP("Indonesia Minas",'[2]Deloitte Forecast Input Real'!$2:$53,2+'[2]Deloitte Forecast Input Real'!A16,FALSE)</f>
        <v>73</v>
      </c>
      <c r="S25" s="53"/>
      <c r="T25" s="53"/>
      <c r="U25" s="53"/>
      <c r="V25" s="53"/>
      <c r="W25" s="53"/>
    </row>
    <row r="26" spans="1:23" x14ac:dyDescent="0.2">
      <c r="A26" s="11"/>
      <c r="B26" s="16">
        <f t="shared" si="0"/>
        <v>2030</v>
      </c>
      <c r="C26" s="32">
        <f>HLOOKUP("WTI",'[2]Deloitte Forecast Input Real'!$2:$53,2+'[2]Deloitte Forecast Input Real'!A17,FALSE)</f>
        <v>75</v>
      </c>
      <c r="D26" s="17">
        <f>HLOOKUP("Alaskan North Slope",'[2]Deloitte Forecast Input Real'!$2:$53,2+'[2]Deloitte Forecast Input Real'!A17,FALSE)</f>
        <v>66</v>
      </c>
      <c r="E26" s="17">
        <f>HLOOKUP("California Kern River",'[2]Deloitte Forecast Input Real'!$2:$53,2+'[2]Deloitte Forecast Input Real'!A17,FALSE)</f>
        <v>70</v>
      </c>
      <c r="F26" s="17">
        <f>HLOOKUP("Louisiana Heavy Sweet",'[2]Deloitte Forecast Input Real'!$2:$53,2+'[2]Deloitte Forecast Input Real'!A17,FALSE)</f>
        <v>72.5</v>
      </c>
      <c r="G26" s="17">
        <f>HLOOKUP("Louisiana Light Sweet",'[2]Deloitte Forecast Input Real'!$2:$53,2+'[2]Deloitte Forecast Input Real'!A17,FALSE)</f>
        <v>73</v>
      </c>
      <c r="H26" s="17">
        <f>HLOOKUP("MARS Blend",'[2]Deloitte Forecast Input Real'!$2:$53,2+'[2]Deloitte Forecast Input Real'!A17,FALSE)</f>
        <v>70</v>
      </c>
      <c r="I26" s="17">
        <f>HLOOKUP("Wyoming Sweet",'[2]Deloitte Forecast Input Real'!$2:$53,2+'[2]Deloitte Forecast Input Real'!A17,FALSE)</f>
        <v>69</v>
      </c>
      <c r="J26" s="17">
        <f>HLOOKUP("Brent Spot",'[2]Deloitte Forecast Input Real'!$2:$53,2+'[2]Deloitte Forecast Input Real'!A17,FALSE)</f>
        <v>76</v>
      </c>
      <c r="K26" s="17">
        <f>HLOOKUP("Gulf Coast Argus Sour Crude Index",'[2]Deloitte Forecast Input Real'!$2:$53,2+'[2]Deloitte Forecast Input Real'!A17,FALSE)</f>
        <v>70</v>
      </c>
      <c r="L26" s="17">
        <f>HLOOKUP("Average OPEC Basket",'[2]Deloitte Forecast Input Real'!$2:$53,2+'[2]Deloitte Forecast Input Real'!A17,FALSE)</f>
        <v>74</v>
      </c>
      <c r="M26" s="17">
        <f>HLOOKUP("Venezuelan Merey Crude",'[2]Deloitte Forecast Input Real'!$2:$53,2+'[2]Deloitte Forecast Input Real'!A17,FALSE)</f>
        <v>67</v>
      </c>
      <c r="N26" s="17">
        <f>HLOOKUP("Nigerian Bonny Light",'[2]Deloitte Forecast Input Real'!$2:$53,2+'[2]Deloitte Forecast Input Real'!A17,FALSE)</f>
        <v>76.400000000000006</v>
      </c>
      <c r="O26" s="17">
        <f>HLOOKUP("Arabia UAE Dubai Feteh",'[2]Deloitte Forecast Input Real'!$2:$53,2+'[2]Deloitte Forecast Input Real'!A17,FALSE)</f>
        <v>73.5</v>
      </c>
      <c r="P26" s="17">
        <f>HLOOKUP("Mexico Maya",'[2]Deloitte Forecast Input Real'!$2:$53,2+'[2]Deloitte Forecast Input Real'!A17,FALSE)</f>
        <v>68.5</v>
      </c>
      <c r="Q26" s="17">
        <f>HLOOKUP("Russia Urals",'[2]Deloitte Forecast Input Real'!$2:$53,2+'[2]Deloitte Forecast Input Real'!A17,FALSE)</f>
        <v>74.5</v>
      </c>
      <c r="R26" s="85">
        <f>HLOOKUP("Indonesia Minas",'[2]Deloitte Forecast Input Real'!$2:$53,2+'[2]Deloitte Forecast Input Real'!A17,FALSE)</f>
        <v>73</v>
      </c>
      <c r="S26" s="53"/>
      <c r="T26" s="53"/>
      <c r="U26" s="53"/>
      <c r="V26" s="53"/>
      <c r="W26" s="53"/>
    </row>
    <row r="27" spans="1:23" x14ac:dyDescent="0.2">
      <c r="A27" s="11"/>
      <c r="B27" s="16">
        <f t="shared" si="0"/>
        <v>2031</v>
      </c>
      <c r="C27" s="32">
        <f>HLOOKUP("WTI",'[2]Deloitte Forecast Input Real'!$2:$53,2+'[2]Deloitte Forecast Input Real'!A18,FALSE)</f>
        <v>75</v>
      </c>
      <c r="D27" s="17">
        <f>HLOOKUP("Alaskan North Slope",'[2]Deloitte Forecast Input Real'!$2:$53,2+'[2]Deloitte Forecast Input Real'!A18,FALSE)</f>
        <v>66</v>
      </c>
      <c r="E27" s="17">
        <f>HLOOKUP("California Kern River",'[2]Deloitte Forecast Input Real'!$2:$53,2+'[2]Deloitte Forecast Input Real'!A18,FALSE)</f>
        <v>70</v>
      </c>
      <c r="F27" s="17">
        <f>HLOOKUP("Louisiana Heavy Sweet",'[2]Deloitte Forecast Input Real'!$2:$53,2+'[2]Deloitte Forecast Input Real'!A18,FALSE)</f>
        <v>72.5</v>
      </c>
      <c r="G27" s="17">
        <f>HLOOKUP("Louisiana Light Sweet",'[2]Deloitte Forecast Input Real'!$2:$53,2+'[2]Deloitte Forecast Input Real'!A18,FALSE)</f>
        <v>73</v>
      </c>
      <c r="H27" s="17">
        <f>HLOOKUP("MARS Blend",'[2]Deloitte Forecast Input Real'!$2:$53,2+'[2]Deloitte Forecast Input Real'!A18,FALSE)</f>
        <v>70</v>
      </c>
      <c r="I27" s="17">
        <f>HLOOKUP("Wyoming Sweet",'[2]Deloitte Forecast Input Real'!$2:$53,2+'[2]Deloitte Forecast Input Real'!A18,FALSE)</f>
        <v>69</v>
      </c>
      <c r="J27" s="17">
        <f>HLOOKUP("Brent Spot",'[2]Deloitte Forecast Input Real'!$2:$53,2+'[2]Deloitte Forecast Input Real'!A18,FALSE)</f>
        <v>76</v>
      </c>
      <c r="K27" s="17">
        <f>HLOOKUP("Gulf Coast Argus Sour Crude Index",'[2]Deloitte Forecast Input Real'!$2:$53,2+'[2]Deloitte Forecast Input Real'!A18,FALSE)</f>
        <v>70</v>
      </c>
      <c r="L27" s="17">
        <f>HLOOKUP("Average OPEC Basket",'[2]Deloitte Forecast Input Real'!$2:$53,2+'[2]Deloitte Forecast Input Real'!A18,FALSE)</f>
        <v>74</v>
      </c>
      <c r="M27" s="17">
        <f>HLOOKUP("Venezuelan Merey Crude",'[2]Deloitte Forecast Input Real'!$2:$53,2+'[2]Deloitte Forecast Input Real'!A18,FALSE)</f>
        <v>67</v>
      </c>
      <c r="N27" s="17">
        <f>HLOOKUP("Nigerian Bonny Light",'[2]Deloitte Forecast Input Real'!$2:$53,2+'[2]Deloitte Forecast Input Real'!A18,FALSE)</f>
        <v>76.400000000000006</v>
      </c>
      <c r="O27" s="17">
        <f>HLOOKUP("Arabia UAE Dubai Feteh",'[2]Deloitte Forecast Input Real'!$2:$53,2+'[2]Deloitte Forecast Input Real'!A18,FALSE)</f>
        <v>73.5</v>
      </c>
      <c r="P27" s="17">
        <f>HLOOKUP("Mexico Maya",'[2]Deloitte Forecast Input Real'!$2:$53,2+'[2]Deloitte Forecast Input Real'!A18,FALSE)</f>
        <v>68.5</v>
      </c>
      <c r="Q27" s="17">
        <f>HLOOKUP("Russia Urals",'[2]Deloitte Forecast Input Real'!$2:$53,2+'[2]Deloitte Forecast Input Real'!A18,FALSE)</f>
        <v>74.5</v>
      </c>
      <c r="R27" s="85">
        <f>HLOOKUP("Indonesia Minas",'[2]Deloitte Forecast Input Real'!$2:$53,2+'[2]Deloitte Forecast Input Real'!A18,FALSE)</f>
        <v>73</v>
      </c>
      <c r="S27" s="53"/>
      <c r="T27" s="53"/>
      <c r="U27" s="53"/>
      <c r="V27" s="53"/>
      <c r="W27" s="53"/>
    </row>
    <row r="28" spans="1:23" x14ac:dyDescent="0.2">
      <c r="A28" s="11"/>
      <c r="B28" s="16">
        <f t="shared" si="0"/>
        <v>2032</v>
      </c>
      <c r="C28" s="32">
        <f>HLOOKUP("WTI",'[2]Deloitte Forecast Input Real'!$2:$53,2+'[2]Deloitte Forecast Input Real'!A19,FALSE)</f>
        <v>75</v>
      </c>
      <c r="D28" s="17">
        <f>HLOOKUP("Alaskan North Slope",'[2]Deloitte Forecast Input Real'!$2:$53,2+'[2]Deloitte Forecast Input Real'!A19,FALSE)</f>
        <v>66</v>
      </c>
      <c r="E28" s="17">
        <f>HLOOKUP("California Kern River",'[2]Deloitte Forecast Input Real'!$2:$53,2+'[2]Deloitte Forecast Input Real'!A19,FALSE)</f>
        <v>70</v>
      </c>
      <c r="F28" s="17">
        <f>HLOOKUP("Louisiana Heavy Sweet",'[2]Deloitte Forecast Input Real'!$2:$53,2+'[2]Deloitte Forecast Input Real'!A19,FALSE)</f>
        <v>72.5</v>
      </c>
      <c r="G28" s="17">
        <f>HLOOKUP("Louisiana Light Sweet",'[2]Deloitte Forecast Input Real'!$2:$53,2+'[2]Deloitte Forecast Input Real'!A19,FALSE)</f>
        <v>73</v>
      </c>
      <c r="H28" s="17">
        <f>HLOOKUP("MARS Blend",'[2]Deloitte Forecast Input Real'!$2:$53,2+'[2]Deloitte Forecast Input Real'!A19,FALSE)</f>
        <v>70</v>
      </c>
      <c r="I28" s="17">
        <f>HLOOKUP("Wyoming Sweet",'[2]Deloitte Forecast Input Real'!$2:$53,2+'[2]Deloitte Forecast Input Real'!A19,FALSE)</f>
        <v>69</v>
      </c>
      <c r="J28" s="17">
        <f>HLOOKUP("Brent Spot",'[2]Deloitte Forecast Input Real'!$2:$53,2+'[2]Deloitte Forecast Input Real'!A19,FALSE)</f>
        <v>76</v>
      </c>
      <c r="K28" s="17">
        <f>HLOOKUP("Gulf Coast Argus Sour Crude Index",'[2]Deloitte Forecast Input Real'!$2:$53,2+'[2]Deloitte Forecast Input Real'!A19,FALSE)</f>
        <v>70</v>
      </c>
      <c r="L28" s="17">
        <f>HLOOKUP("Average OPEC Basket",'[2]Deloitte Forecast Input Real'!$2:$53,2+'[2]Deloitte Forecast Input Real'!A19,FALSE)</f>
        <v>74</v>
      </c>
      <c r="M28" s="17">
        <f>HLOOKUP("Venezuelan Merey Crude",'[2]Deloitte Forecast Input Real'!$2:$53,2+'[2]Deloitte Forecast Input Real'!A19,FALSE)</f>
        <v>67</v>
      </c>
      <c r="N28" s="17">
        <f>HLOOKUP("Nigerian Bonny Light",'[2]Deloitte Forecast Input Real'!$2:$53,2+'[2]Deloitte Forecast Input Real'!A19,FALSE)</f>
        <v>76.400000000000006</v>
      </c>
      <c r="O28" s="17">
        <f>HLOOKUP("Arabia UAE Dubai Feteh",'[2]Deloitte Forecast Input Real'!$2:$53,2+'[2]Deloitte Forecast Input Real'!A19,FALSE)</f>
        <v>73.5</v>
      </c>
      <c r="P28" s="17">
        <f>HLOOKUP("Mexico Maya",'[2]Deloitte Forecast Input Real'!$2:$53,2+'[2]Deloitte Forecast Input Real'!A19,FALSE)</f>
        <v>68.5</v>
      </c>
      <c r="Q28" s="17">
        <f>HLOOKUP("Russia Urals",'[2]Deloitte Forecast Input Real'!$2:$53,2+'[2]Deloitte Forecast Input Real'!A19,FALSE)</f>
        <v>74.5</v>
      </c>
      <c r="R28" s="85">
        <f>HLOOKUP("Indonesia Minas",'[2]Deloitte Forecast Input Real'!$2:$53,2+'[2]Deloitte Forecast Input Real'!A19,FALSE)</f>
        <v>73</v>
      </c>
      <c r="S28" s="53"/>
      <c r="T28" s="53"/>
      <c r="U28" s="53"/>
      <c r="V28" s="53"/>
      <c r="W28" s="53"/>
    </row>
    <row r="29" spans="1:23" x14ac:dyDescent="0.2">
      <c r="A29" s="11"/>
      <c r="B29" s="16">
        <f t="shared" si="0"/>
        <v>2033</v>
      </c>
      <c r="C29" s="32">
        <f>HLOOKUP("WTI",'[2]Deloitte Forecast Input Real'!$2:$53,2+'[2]Deloitte Forecast Input Real'!A20,FALSE)</f>
        <v>75</v>
      </c>
      <c r="D29" s="17">
        <f>HLOOKUP("Alaskan North Slope",'[2]Deloitte Forecast Input Real'!$2:$53,2+'[2]Deloitte Forecast Input Real'!A20,FALSE)</f>
        <v>66</v>
      </c>
      <c r="E29" s="17">
        <f>HLOOKUP("California Kern River",'[2]Deloitte Forecast Input Real'!$2:$53,2+'[2]Deloitte Forecast Input Real'!A20,FALSE)</f>
        <v>70</v>
      </c>
      <c r="F29" s="17">
        <f>HLOOKUP("Louisiana Heavy Sweet",'[2]Deloitte Forecast Input Real'!$2:$53,2+'[2]Deloitte Forecast Input Real'!A20,FALSE)</f>
        <v>72.5</v>
      </c>
      <c r="G29" s="17">
        <f>HLOOKUP("Louisiana Light Sweet",'[2]Deloitte Forecast Input Real'!$2:$53,2+'[2]Deloitte Forecast Input Real'!A20,FALSE)</f>
        <v>73</v>
      </c>
      <c r="H29" s="17">
        <f>HLOOKUP("MARS Blend",'[2]Deloitte Forecast Input Real'!$2:$53,2+'[2]Deloitte Forecast Input Real'!A20,FALSE)</f>
        <v>70</v>
      </c>
      <c r="I29" s="17">
        <f>HLOOKUP("Wyoming Sweet",'[2]Deloitte Forecast Input Real'!$2:$53,2+'[2]Deloitte Forecast Input Real'!A20,FALSE)</f>
        <v>69</v>
      </c>
      <c r="J29" s="17">
        <f>HLOOKUP("Brent Spot",'[2]Deloitte Forecast Input Real'!$2:$53,2+'[2]Deloitte Forecast Input Real'!A20,FALSE)</f>
        <v>76</v>
      </c>
      <c r="K29" s="17">
        <f>HLOOKUP("Gulf Coast Argus Sour Crude Index",'[2]Deloitte Forecast Input Real'!$2:$53,2+'[2]Deloitte Forecast Input Real'!A20,FALSE)</f>
        <v>70</v>
      </c>
      <c r="L29" s="17">
        <f>HLOOKUP("Average OPEC Basket",'[2]Deloitte Forecast Input Real'!$2:$53,2+'[2]Deloitte Forecast Input Real'!A20,FALSE)</f>
        <v>74</v>
      </c>
      <c r="M29" s="17">
        <f>HLOOKUP("Venezuelan Merey Crude",'[2]Deloitte Forecast Input Real'!$2:$53,2+'[2]Deloitte Forecast Input Real'!A20,FALSE)</f>
        <v>67</v>
      </c>
      <c r="N29" s="17">
        <f>HLOOKUP("Nigerian Bonny Light",'[2]Deloitte Forecast Input Real'!$2:$53,2+'[2]Deloitte Forecast Input Real'!A20,FALSE)</f>
        <v>76.400000000000006</v>
      </c>
      <c r="O29" s="17">
        <f>HLOOKUP("Arabia UAE Dubai Feteh",'[2]Deloitte Forecast Input Real'!$2:$53,2+'[2]Deloitte Forecast Input Real'!A20,FALSE)</f>
        <v>73.5</v>
      </c>
      <c r="P29" s="17">
        <f>HLOOKUP("Mexico Maya",'[2]Deloitte Forecast Input Real'!$2:$53,2+'[2]Deloitte Forecast Input Real'!A20,FALSE)</f>
        <v>68.5</v>
      </c>
      <c r="Q29" s="17">
        <f>HLOOKUP("Russia Urals",'[2]Deloitte Forecast Input Real'!$2:$53,2+'[2]Deloitte Forecast Input Real'!A20,FALSE)</f>
        <v>74.5</v>
      </c>
      <c r="R29" s="85">
        <f>HLOOKUP("Indonesia Minas",'[2]Deloitte Forecast Input Real'!$2:$53,2+'[2]Deloitte Forecast Input Real'!A20,FALSE)</f>
        <v>73</v>
      </c>
      <c r="S29" s="53"/>
      <c r="T29" s="53"/>
      <c r="U29" s="53"/>
      <c r="V29" s="53"/>
      <c r="W29" s="53"/>
    </row>
    <row r="30" spans="1:23" x14ac:dyDescent="0.2">
      <c r="A30" s="11"/>
      <c r="B30" s="16">
        <f t="shared" si="0"/>
        <v>2034</v>
      </c>
      <c r="C30" s="32">
        <f>HLOOKUP("WTI",'[2]Deloitte Forecast Input Real'!$2:$53,2+'[2]Deloitte Forecast Input Real'!A21,FALSE)</f>
        <v>75</v>
      </c>
      <c r="D30" s="17">
        <f>HLOOKUP("Alaskan North Slope",'[2]Deloitte Forecast Input Real'!$2:$53,2+'[2]Deloitte Forecast Input Real'!A21,FALSE)</f>
        <v>66</v>
      </c>
      <c r="E30" s="17">
        <f>HLOOKUP("California Kern River",'[2]Deloitte Forecast Input Real'!$2:$53,2+'[2]Deloitte Forecast Input Real'!A21,FALSE)</f>
        <v>70</v>
      </c>
      <c r="F30" s="17">
        <f>HLOOKUP("Louisiana Heavy Sweet",'[2]Deloitte Forecast Input Real'!$2:$53,2+'[2]Deloitte Forecast Input Real'!A21,FALSE)</f>
        <v>72.5</v>
      </c>
      <c r="G30" s="17">
        <f>HLOOKUP("Louisiana Light Sweet",'[2]Deloitte Forecast Input Real'!$2:$53,2+'[2]Deloitte Forecast Input Real'!A21,FALSE)</f>
        <v>73</v>
      </c>
      <c r="H30" s="17">
        <f>HLOOKUP("MARS Blend",'[2]Deloitte Forecast Input Real'!$2:$53,2+'[2]Deloitte Forecast Input Real'!A21,FALSE)</f>
        <v>70</v>
      </c>
      <c r="I30" s="17">
        <f>HLOOKUP("Wyoming Sweet",'[2]Deloitte Forecast Input Real'!$2:$53,2+'[2]Deloitte Forecast Input Real'!A21,FALSE)</f>
        <v>69</v>
      </c>
      <c r="J30" s="17">
        <f>HLOOKUP("Brent Spot",'[2]Deloitte Forecast Input Real'!$2:$53,2+'[2]Deloitte Forecast Input Real'!A21,FALSE)</f>
        <v>76</v>
      </c>
      <c r="K30" s="17">
        <f>HLOOKUP("Gulf Coast Argus Sour Crude Index",'[2]Deloitte Forecast Input Real'!$2:$53,2+'[2]Deloitte Forecast Input Real'!A21,FALSE)</f>
        <v>70</v>
      </c>
      <c r="L30" s="17">
        <f>HLOOKUP("Average OPEC Basket",'[2]Deloitte Forecast Input Real'!$2:$53,2+'[2]Deloitte Forecast Input Real'!A21,FALSE)</f>
        <v>74</v>
      </c>
      <c r="M30" s="17">
        <f>HLOOKUP("Venezuelan Merey Crude",'[2]Deloitte Forecast Input Real'!$2:$53,2+'[2]Deloitte Forecast Input Real'!A21,FALSE)</f>
        <v>67</v>
      </c>
      <c r="N30" s="17">
        <f>HLOOKUP("Nigerian Bonny Light",'[2]Deloitte Forecast Input Real'!$2:$53,2+'[2]Deloitte Forecast Input Real'!A21,FALSE)</f>
        <v>76.400000000000006</v>
      </c>
      <c r="O30" s="17">
        <f>HLOOKUP("Arabia UAE Dubai Feteh",'[2]Deloitte Forecast Input Real'!$2:$53,2+'[2]Deloitte Forecast Input Real'!A21,FALSE)</f>
        <v>73.5</v>
      </c>
      <c r="P30" s="17">
        <f>HLOOKUP("Mexico Maya",'[2]Deloitte Forecast Input Real'!$2:$53,2+'[2]Deloitte Forecast Input Real'!A21,FALSE)</f>
        <v>68.5</v>
      </c>
      <c r="Q30" s="17">
        <f>HLOOKUP("Russia Urals",'[2]Deloitte Forecast Input Real'!$2:$53,2+'[2]Deloitte Forecast Input Real'!A21,FALSE)</f>
        <v>74.5</v>
      </c>
      <c r="R30" s="85">
        <f>HLOOKUP("Indonesia Minas",'[2]Deloitte Forecast Input Real'!$2:$53,2+'[2]Deloitte Forecast Input Real'!A21,FALSE)</f>
        <v>73</v>
      </c>
      <c r="S30" s="53"/>
      <c r="T30" s="53"/>
      <c r="U30" s="53"/>
      <c r="V30" s="53"/>
      <c r="W30" s="53"/>
    </row>
    <row r="31" spans="1:23" x14ac:dyDescent="0.2">
      <c r="A31" s="11"/>
      <c r="B31" s="16">
        <f t="shared" si="0"/>
        <v>2035</v>
      </c>
      <c r="C31" s="32">
        <f>HLOOKUP("WTI",'[2]Deloitte Forecast Input Real'!$2:$53,2+'[2]Deloitte Forecast Input Real'!A22,FALSE)</f>
        <v>75</v>
      </c>
      <c r="D31" s="17">
        <f>HLOOKUP("Alaskan North Slope",'[2]Deloitte Forecast Input Real'!$2:$53,2+'[2]Deloitte Forecast Input Real'!A22,FALSE)</f>
        <v>66</v>
      </c>
      <c r="E31" s="17">
        <f>HLOOKUP("California Kern River",'[2]Deloitte Forecast Input Real'!$2:$53,2+'[2]Deloitte Forecast Input Real'!A22,FALSE)</f>
        <v>70</v>
      </c>
      <c r="F31" s="17">
        <f>HLOOKUP("Louisiana Heavy Sweet",'[2]Deloitte Forecast Input Real'!$2:$53,2+'[2]Deloitte Forecast Input Real'!A22,FALSE)</f>
        <v>72.5</v>
      </c>
      <c r="G31" s="17">
        <f>HLOOKUP("Louisiana Light Sweet",'[2]Deloitte Forecast Input Real'!$2:$53,2+'[2]Deloitte Forecast Input Real'!A22,FALSE)</f>
        <v>73</v>
      </c>
      <c r="H31" s="17">
        <f>HLOOKUP("MARS Blend",'[2]Deloitte Forecast Input Real'!$2:$53,2+'[2]Deloitte Forecast Input Real'!A22,FALSE)</f>
        <v>70</v>
      </c>
      <c r="I31" s="17">
        <f>HLOOKUP("Wyoming Sweet",'[2]Deloitte Forecast Input Real'!$2:$53,2+'[2]Deloitte Forecast Input Real'!A22,FALSE)</f>
        <v>69</v>
      </c>
      <c r="J31" s="17">
        <f>HLOOKUP("Brent Spot",'[2]Deloitte Forecast Input Real'!$2:$53,2+'[2]Deloitte Forecast Input Real'!A22,FALSE)</f>
        <v>76</v>
      </c>
      <c r="K31" s="17">
        <f>HLOOKUP("Gulf Coast Argus Sour Crude Index",'[2]Deloitte Forecast Input Real'!$2:$53,2+'[2]Deloitte Forecast Input Real'!A22,FALSE)</f>
        <v>70</v>
      </c>
      <c r="L31" s="17">
        <f>HLOOKUP("Average OPEC Basket",'[2]Deloitte Forecast Input Real'!$2:$53,2+'[2]Deloitte Forecast Input Real'!A22,FALSE)</f>
        <v>74</v>
      </c>
      <c r="M31" s="17">
        <f>HLOOKUP("Venezuelan Merey Crude",'[2]Deloitte Forecast Input Real'!$2:$53,2+'[2]Deloitte Forecast Input Real'!A22,FALSE)</f>
        <v>67</v>
      </c>
      <c r="N31" s="17">
        <f>HLOOKUP("Nigerian Bonny Light",'[2]Deloitte Forecast Input Real'!$2:$53,2+'[2]Deloitte Forecast Input Real'!A22,FALSE)</f>
        <v>76.400000000000006</v>
      </c>
      <c r="O31" s="17">
        <f>HLOOKUP("Arabia UAE Dubai Feteh",'[2]Deloitte Forecast Input Real'!$2:$53,2+'[2]Deloitte Forecast Input Real'!A22,FALSE)</f>
        <v>73.5</v>
      </c>
      <c r="P31" s="17">
        <f>HLOOKUP("Mexico Maya",'[2]Deloitte Forecast Input Real'!$2:$53,2+'[2]Deloitte Forecast Input Real'!A22,FALSE)</f>
        <v>68.5</v>
      </c>
      <c r="Q31" s="17">
        <f>HLOOKUP("Russia Urals",'[2]Deloitte Forecast Input Real'!$2:$53,2+'[2]Deloitte Forecast Input Real'!A22,FALSE)</f>
        <v>74.5</v>
      </c>
      <c r="R31" s="85">
        <f>HLOOKUP("Indonesia Minas",'[2]Deloitte Forecast Input Real'!$2:$53,2+'[2]Deloitte Forecast Input Real'!A22,FALSE)</f>
        <v>73</v>
      </c>
      <c r="S31" s="53"/>
      <c r="T31" s="53"/>
      <c r="U31" s="53"/>
      <c r="V31" s="53"/>
      <c r="W31" s="53"/>
    </row>
    <row r="32" spans="1:23" x14ac:dyDescent="0.2">
      <c r="A32" s="11"/>
      <c r="B32" s="16">
        <f t="shared" si="0"/>
        <v>2036</v>
      </c>
      <c r="C32" s="32">
        <f>HLOOKUP("WTI",'[2]Deloitte Forecast Input Real'!$2:$53,2+'[2]Deloitte Forecast Input Real'!A23,FALSE)</f>
        <v>75</v>
      </c>
      <c r="D32" s="17">
        <f>HLOOKUP("Alaskan North Slope",'[2]Deloitte Forecast Input Real'!$2:$53,2+'[2]Deloitte Forecast Input Real'!A23,FALSE)</f>
        <v>66</v>
      </c>
      <c r="E32" s="17">
        <f>HLOOKUP("California Kern River",'[2]Deloitte Forecast Input Real'!$2:$53,2+'[2]Deloitte Forecast Input Real'!A23,FALSE)</f>
        <v>70</v>
      </c>
      <c r="F32" s="17">
        <f>HLOOKUP("Louisiana Heavy Sweet",'[2]Deloitte Forecast Input Real'!$2:$53,2+'[2]Deloitte Forecast Input Real'!A23,FALSE)</f>
        <v>72.5</v>
      </c>
      <c r="G32" s="17">
        <f>HLOOKUP("Louisiana Light Sweet",'[2]Deloitte Forecast Input Real'!$2:$53,2+'[2]Deloitte Forecast Input Real'!A23,FALSE)</f>
        <v>73</v>
      </c>
      <c r="H32" s="17">
        <f>HLOOKUP("MARS Blend",'[2]Deloitte Forecast Input Real'!$2:$53,2+'[2]Deloitte Forecast Input Real'!A23,FALSE)</f>
        <v>70</v>
      </c>
      <c r="I32" s="17">
        <f>HLOOKUP("Wyoming Sweet",'[2]Deloitte Forecast Input Real'!$2:$53,2+'[2]Deloitte Forecast Input Real'!A23,FALSE)</f>
        <v>69</v>
      </c>
      <c r="J32" s="17">
        <f>HLOOKUP("Brent Spot",'[2]Deloitte Forecast Input Real'!$2:$53,2+'[2]Deloitte Forecast Input Real'!A23,FALSE)</f>
        <v>76</v>
      </c>
      <c r="K32" s="17">
        <f>HLOOKUP("Gulf Coast Argus Sour Crude Index",'[2]Deloitte Forecast Input Real'!$2:$53,2+'[2]Deloitte Forecast Input Real'!A23,FALSE)</f>
        <v>70</v>
      </c>
      <c r="L32" s="17">
        <f>HLOOKUP("Average OPEC Basket",'[2]Deloitte Forecast Input Real'!$2:$53,2+'[2]Deloitte Forecast Input Real'!A23,FALSE)</f>
        <v>74</v>
      </c>
      <c r="M32" s="17">
        <f>HLOOKUP("Venezuelan Merey Crude",'[2]Deloitte Forecast Input Real'!$2:$53,2+'[2]Deloitte Forecast Input Real'!A23,FALSE)</f>
        <v>67</v>
      </c>
      <c r="N32" s="17">
        <f>HLOOKUP("Nigerian Bonny Light",'[2]Deloitte Forecast Input Real'!$2:$53,2+'[2]Deloitte Forecast Input Real'!A23,FALSE)</f>
        <v>76.400000000000006</v>
      </c>
      <c r="O32" s="17">
        <f>HLOOKUP("Arabia UAE Dubai Feteh",'[2]Deloitte Forecast Input Real'!$2:$53,2+'[2]Deloitte Forecast Input Real'!A23,FALSE)</f>
        <v>73.5</v>
      </c>
      <c r="P32" s="17">
        <f>HLOOKUP("Mexico Maya",'[2]Deloitte Forecast Input Real'!$2:$53,2+'[2]Deloitte Forecast Input Real'!A23,FALSE)</f>
        <v>68.5</v>
      </c>
      <c r="Q32" s="17">
        <f>HLOOKUP("Russia Urals",'[2]Deloitte Forecast Input Real'!$2:$53,2+'[2]Deloitte Forecast Input Real'!A23,FALSE)</f>
        <v>74.5</v>
      </c>
      <c r="R32" s="85">
        <f>HLOOKUP("Indonesia Minas",'[2]Deloitte Forecast Input Real'!$2:$53,2+'[2]Deloitte Forecast Input Real'!A23,FALSE)</f>
        <v>73</v>
      </c>
      <c r="S32" s="53"/>
      <c r="T32" s="53"/>
      <c r="U32" s="53"/>
      <c r="V32" s="53"/>
      <c r="W32" s="53"/>
    </row>
    <row r="33" spans="1:23" x14ac:dyDescent="0.2">
      <c r="A33" s="23"/>
      <c r="B33" s="28" t="str">
        <f>B32&amp;"+"</f>
        <v>2036+</v>
      </c>
      <c r="C33" s="60">
        <v>0</v>
      </c>
      <c r="D33" s="58">
        <v>0</v>
      </c>
      <c r="E33" s="58">
        <v>0</v>
      </c>
      <c r="F33" s="58">
        <v>0</v>
      </c>
      <c r="G33" s="58">
        <v>0</v>
      </c>
      <c r="H33" s="58">
        <v>0</v>
      </c>
      <c r="I33" s="58">
        <v>0</v>
      </c>
      <c r="J33" s="58">
        <v>0</v>
      </c>
      <c r="K33" s="58">
        <v>0</v>
      </c>
      <c r="L33" s="58">
        <v>0</v>
      </c>
      <c r="M33" s="58">
        <v>0</v>
      </c>
      <c r="N33" s="58">
        <v>0</v>
      </c>
      <c r="O33" s="58">
        <v>0</v>
      </c>
      <c r="P33" s="58">
        <v>0</v>
      </c>
      <c r="Q33" s="58">
        <v>0</v>
      </c>
      <c r="R33" s="61">
        <v>0</v>
      </c>
      <c r="S33" s="53"/>
      <c r="T33" s="53"/>
      <c r="U33" s="53"/>
      <c r="V33" s="53"/>
      <c r="W33" s="53"/>
    </row>
    <row r="34" spans="1:23" x14ac:dyDescent="0.2">
      <c r="A34" s="53"/>
      <c r="B34" s="53"/>
      <c r="C34" s="53"/>
      <c r="D34" s="53"/>
      <c r="E34" s="53"/>
      <c r="F34" s="53"/>
      <c r="G34" s="53"/>
      <c r="H34" s="53"/>
      <c r="I34" s="53"/>
      <c r="J34" s="53"/>
      <c r="K34" s="5"/>
      <c r="L34" s="5"/>
      <c r="M34" s="53"/>
      <c r="N34" s="53"/>
      <c r="O34" s="53"/>
      <c r="P34" s="53"/>
      <c r="Q34" s="53"/>
      <c r="R34" s="53"/>
      <c r="S34" s="53"/>
      <c r="T34" s="53"/>
      <c r="U34" s="53"/>
      <c r="V34" s="53"/>
      <c r="W34" s="53"/>
    </row>
    <row r="35" spans="1:23" x14ac:dyDescent="0.2">
      <c r="A35" s="6"/>
      <c r="B35" s="74" t="s">
        <v>2</v>
      </c>
      <c r="C35" s="86"/>
      <c r="D35" s="9"/>
      <c r="E35" s="118" t="s">
        <v>5</v>
      </c>
      <c r="F35" s="119"/>
      <c r="G35" s="119"/>
      <c r="H35" s="119"/>
      <c r="I35" s="119"/>
      <c r="J35" s="119"/>
      <c r="K35" s="119"/>
      <c r="L35" s="120"/>
      <c r="M35" s="87" t="s">
        <v>121</v>
      </c>
      <c r="V35" s="64"/>
      <c r="W35" s="64"/>
    </row>
    <row r="36" spans="1:23" x14ac:dyDescent="0.2">
      <c r="A36" s="11"/>
      <c r="B36" s="75"/>
      <c r="C36" s="88"/>
      <c r="D36" s="14"/>
      <c r="E36" s="15"/>
      <c r="F36" s="16"/>
      <c r="G36" s="16"/>
      <c r="H36" s="16"/>
      <c r="I36" s="16"/>
      <c r="J36" s="16"/>
      <c r="K36" s="16"/>
      <c r="M36" s="89"/>
      <c r="V36" s="53"/>
      <c r="W36" s="53"/>
    </row>
    <row r="37" spans="1:23" x14ac:dyDescent="0.2">
      <c r="A37" s="11"/>
      <c r="B37" s="75"/>
      <c r="C37" s="88"/>
      <c r="D37" s="14"/>
      <c r="E37" s="15" t="s">
        <v>17</v>
      </c>
      <c r="F37" s="16"/>
      <c r="G37" s="16"/>
      <c r="H37" s="16"/>
      <c r="I37" s="16"/>
      <c r="J37" s="16"/>
      <c r="K37" s="16"/>
      <c r="L37" s="76"/>
      <c r="M37" s="89" t="s">
        <v>122</v>
      </c>
      <c r="V37" s="53"/>
      <c r="W37" s="53"/>
    </row>
    <row r="38" spans="1:23" x14ac:dyDescent="0.2">
      <c r="A38" s="11"/>
      <c r="B38" s="75"/>
      <c r="C38" s="53"/>
      <c r="D38" s="75"/>
      <c r="E38" s="90" t="s">
        <v>26</v>
      </c>
      <c r="F38" s="76" t="s">
        <v>123</v>
      </c>
      <c r="G38" s="76" t="s">
        <v>124</v>
      </c>
      <c r="H38" s="76" t="s">
        <v>86</v>
      </c>
      <c r="I38" s="76" t="s">
        <v>89</v>
      </c>
      <c r="J38" s="76" t="s">
        <v>125</v>
      </c>
      <c r="K38" s="20"/>
      <c r="L38" s="76" t="s">
        <v>126</v>
      </c>
      <c r="M38" s="89" t="s">
        <v>127</v>
      </c>
      <c r="V38" s="53"/>
      <c r="W38" s="53"/>
    </row>
    <row r="39" spans="1:23" x14ac:dyDescent="0.2">
      <c r="A39" s="11"/>
      <c r="B39" s="75"/>
      <c r="C39" s="16" t="s">
        <v>128</v>
      </c>
      <c r="D39" s="18" t="s">
        <v>129</v>
      </c>
      <c r="E39" s="90" t="s">
        <v>38</v>
      </c>
      <c r="F39" s="76" t="s">
        <v>130</v>
      </c>
      <c r="G39" s="76" t="s">
        <v>131</v>
      </c>
      <c r="H39" s="76" t="s">
        <v>132</v>
      </c>
      <c r="I39" s="76" t="s">
        <v>133</v>
      </c>
      <c r="J39" s="76" t="s">
        <v>134</v>
      </c>
      <c r="K39" s="20" t="s">
        <v>135</v>
      </c>
      <c r="L39" s="76" t="s">
        <v>136</v>
      </c>
      <c r="M39" s="89" t="s">
        <v>121</v>
      </c>
      <c r="V39" s="53"/>
      <c r="W39" s="53"/>
    </row>
    <row r="40" spans="1:23" x14ac:dyDescent="0.2">
      <c r="A40" s="11"/>
      <c r="B40" s="18"/>
      <c r="C40" s="16" t="s">
        <v>41</v>
      </c>
      <c r="D40" s="18" t="s">
        <v>41</v>
      </c>
      <c r="E40" s="15" t="s">
        <v>46</v>
      </c>
      <c r="F40" s="16" t="s">
        <v>46</v>
      </c>
      <c r="G40" s="16" t="s">
        <v>46</v>
      </c>
      <c r="H40" s="16" t="s">
        <v>46</v>
      </c>
      <c r="I40" s="16" t="s">
        <v>46</v>
      </c>
      <c r="J40" s="16" t="s">
        <v>46</v>
      </c>
      <c r="K40" s="16" t="s">
        <v>46</v>
      </c>
      <c r="L40" s="16" t="s">
        <v>46</v>
      </c>
      <c r="M40" s="89" t="s">
        <v>137</v>
      </c>
      <c r="V40" s="53"/>
      <c r="W40" s="53"/>
    </row>
    <row r="41" spans="1:23" x14ac:dyDescent="0.2">
      <c r="A41" s="23"/>
      <c r="B41" s="81"/>
      <c r="C41" s="28" t="s">
        <v>48</v>
      </c>
      <c r="D41" s="30" t="s">
        <v>48</v>
      </c>
      <c r="E41" s="91" t="s">
        <v>49</v>
      </c>
      <c r="F41" s="92" t="s">
        <v>49</v>
      </c>
      <c r="G41" s="92" t="s">
        <v>49</v>
      </c>
      <c r="H41" s="92" t="s">
        <v>49</v>
      </c>
      <c r="I41" s="92" t="s">
        <v>49</v>
      </c>
      <c r="J41" s="92" t="s">
        <v>49</v>
      </c>
      <c r="K41" s="92" t="s">
        <v>49</v>
      </c>
      <c r="L41" s="92" t="s">
        <v>49</v>
      </c>
      <c r="M41" s="93" t="s">
        <v>49</v>
      </c>
      <c r="V41" s="53"/>
      <c r="W41" s="53"/>
    </row>
    <row r="42" spans="1:23" x14ac:dyDescent="0.2">
      <c r="A42" s="15" t="s">
        <v>62</v>
      </c>
      <c r="B42" s="18">
        <f>YEAR(EFFDATE+1)</f>
        <v>2017</v>
      </c>
      <c r="C42" s="31">
        <f>HLOOKUP("British Pound",'[2]Deloitte Forecast Input Real'!$2:$53,2+'[2]Deloitte Forecast Input Real'!A4,FALSE)</f>
        <v>1.25</v>
      </c>
      <c r="D42" s="31">
        <f>HLOOKUP("Euro",'[2]Deloitte Forecast Input Real'!$2:$53,2+'[2]Deloitte Forecast Input Real'!A4,FALSE)</f>
        <v>1.05</v>
      </c>
      <c r="E42" s="94">
        <f>HLOOKUP("NYMEX Henry Hub",'[2]Deloitte Forecast Input Real'!$2:$53,2+'[2]Deloitte Forecast Input Real'!A4,FALSE)</f>
        <v>3.3</v>
      </c>
      <c r="F42" s="37">
        <f>HLOOKUP("Permian Waha",'[2]Deloitte Forecast Input Real'!$2:$53,2+'[2]Deloitte Forecast Input Real'!A4,FALSE)</f>
        <v>3.0999999999999996</v>
      </c>
      <c r="G42" s="37">
        <f>HLOOKUP("San Juan Ignacio",'[2]Deloitte Forecast Input Real'!$2:$53,2+'[2]Deloitte Forecast Input Real'!A4,FALSE)</f>
        <v>3.0999999999999996</v>
      </c>
      <c r="H42" s="37">
        <f>HLOOKUP("Gulf Coast (Onshore)",'[2]Deloitte Forecast Input Real'!$2:$53,2+'[2]Deloitte Forecast Input Real'!A4,FALSE)</f>
        <v>3.1999999999999997</v>
      </c>
      <c r="I42" s="37">
        <f>HLOOKUP("Louisiana East Texas",'[2]Deloitte Forecast Input Real'!$2:$53,2+'[2]Deloitte Forecast Input Real'!A4,FALSE)</f>
        <v>3.1999999999999997</v>
      </c>
      <c r="J42" s="37">
        <f>HLOOKUP("Rocky Mountain Opal",'[2]Deloitte Forecast Input Real'!$2:$53,2+'[2]Deloitte Forecast Input Real'!A4,FALSE)</f>
        <v>3.05</v>
      </c>
      <c r="K42" s="37">
        <f>HLOOKUP("UK National Balancing Point",'[2]Deloitte Forecast Input Real'!$2:$53,2+'[2]Deloitte Forecast Input Real'!A4,FALSE)</f>
        <v>5.3</v>
      </c>
      <c r="L42" s="37">
        <f>HLOOKUP("India Domestic Gas",'[2]Deloitte Forecast Input Real'!$2:$53,2+'[2]Deloitte Forecast Input Real'!A4,FALSE)</f>
        <v>2.4500000000000002</v>
      </c>
      <c r="M42" s="40">
        <f>HLOOKUP("Ethanol CBOT",'[2]Deloitte Forecast Input Real'!$2:$53,2+'[2]Deloitte Forecast Input Real'!A4,FALSE)</f>
        <v>1.5</v>
      </c>
      <c r="V42" s="53"/>
      <c r="W42" s="53"/>
    </row>
    <row r="43" spans="1:23" x14ac:dyDescent="0.2">
      <c r="A43" s="15" t="s">
        <v>55</v>
      </c>
      <c r="B43" s="18">
        <f>B42+1</f>
        <v>2018</v>
      </c>
      <c r="C43" s="31">
        <f>HLOOKUP("British Pound",'[2]Deloitte Forecast Input Real'!$2:$53,2+'[2]Deloitte Forecast Input Real'!A5,FALSE)</f>
        <v>1.25</v>
      </c>
      <c r="D43" s="31">
        <f>HLOOKUP("Euro",'[2]Deloitte Forecast Input Real'!$2:$53,2+'[2]Deloitte Forecast Input Real'!A5,FALSE)</f>
        <v>1.05</v>
      </c>
      <c r="E43" s="94">
        <f>HLOOKUP("NYMEX Henry Hub",'[2]Deloitte Forecast Input Real'!$2:$53,2+'[2]Deloitte Forecast Input Real'!A5,FALSE)</f>
        <v>3.35</v>
      </c>
      <c r="F43" s="37">
        <f>HLOOKUP("Permian Waha",'[2]Deloitte Forecast Input Real'!$2:$53,2+'[2]Deloitte Forecast Input Real'!A5,FALSE)</f>
        <v>3.15</v>
      </c>
      <c r="G43" s="37">
        <f>HLOOKUP("San Juan Ignacio",'[2]Deloitte Forecast Input Real'!$2:$53,2+'[2]Deloitte Forecast Input Real'!A5,FALSE)</f>
        <v>3.15</v>
      </c>
      <c r="H43" s="37">
        <f>HLOOKUP("Gulf Coast (Onshore)",'[2]Deloitte Forecast Input Real'!$2:$53,2+'[2]Deloitte Forecast Input Real'!A5,FALSE)</f>
        <v>3.25</v>
      </c>
      <c r="I43" s="37">
        <f>HLOOKUP("Louisiana East Texas",'[2]Deloitte Forecast Input Real'!$2:$53,2+'[2]Deloitte Forecast Input Real'!A5,FALSE)</f>
        <v>3.25</v>
      </c>
      <c r="J43" s="37">
        <f>HLOOKUP("Rocky Mountain Opal",'[2]Deloitte Forecast Input Real'!$2:$53,2+'[2]Deloitte Forecast Input Real'!A5,FALSE)</f>
        <v>3.1</v>
      </c>
      <c r="K43" s="37">
        <f>HLOOKUP("UK National Balancing Point",'[2]Deloitte Forecast Input Real'!$2:$53,2+'[2]Deloitte Forecast Input Real'!A5,FALSE)</f>
        <v>5.35</v>
      </c>
      <c r="L43" s="37">
        <f>HLOOKUP("India Domestic Gas",'[2]Deloitte Forecast Input Real'!$2:$53,2+'[2]Deloitte Forecast Input Real'!A5,FALSE)</f>
        <v>3.15</v>
      </c>
      <c r="M43" s="40">
        <f>HLOOKUP("Ethanol CBOT",'[2]Deloitte Forecast Input Real'!$2:$53,2+'[2]Deloitte Forecast Input Real'!A5,FALSE)</f>
        <v>1.5</v>
      </c>
      <c r="V43" s="53"/>
      <c r="W43" s="53"/>
    </row>
    <row r="44" spans="1:23" x14ac:dyDescent="0.2">
      <c r="A44" s="15" t="s">
        <v>56</v>
      </c>
      <c r="B44" s="18">
        <f t="shared" ref="B44:B61" si="1">B43+1</f>
        <v>2019</v>
      </c>
      <c r="C44" s="31">
        <f>HLOOKUP("British Pound",'[2]Deloitte Forecast Input Real'!$2:$53,2+'[2]Deloitte Forecast Input Real'!A6,FALSE)</f>
        <v>1.25</v>
      </c>
      <c r="D44" s="31">
        <f>HLOOKUP("Euro",'[2]Deloitte Forecast Input Real'!$2:$53,2+'[2]Deloitte Forecast Input Real'!A6,FALSE)</f>
        <v>1.05</v>
      </c>
      <c r="E44" s="94">
        <f>HLOOKUP("NYMEX Henry Hub",'[2]Deloitte Forecast Input Real'!$2:$53,2+'[2]Deloitte Forecast Input Real'!A6,FALSE)</f>
        <v>3.4</v>
      </c>
      <c r="F44" s="37">
        <f>HLOOKUP("Permian Waha",'[2]Deloitte Forecast Input Real'!$2:$53,2+'[2]Deloitte Forecast Input Real'!A6,FALSE)</f>
        <v>3.1999999999999997</v>
      </c>
      <c r="G44" s="37">
        <f>HLOOKUP("San Juan Ignacio",'[2]Deloitte Forecast Input Real'!$2:$53,2+'[2]Deloitte Forecast Input Real'!A6,FALSE)</f>
        <v>3.1999999999999997</v>
      </c>
      <c r="H44" s="37">
        <f>HLOOKUP("Gulf Coast (Onshore)",'[2]Deloitte Forecast Input Real'!$2:$53,2+'[2]Deloitte Forecast Input Real'!A6,FALSE)</f>
        <v>3.3</v>
      </c>
      <c r="I44" s="37">
        <f>HLOOKUP("Louisiana East Texas",'[2]Deloitte Forecast Input Real'!$2:$53,2+'[2]Deloitte Forecast Input Real'!A6,FALSE)</f>
        <v>3.3</v>
      </c>
      <c r="J44" s="37">
        <f>HLOOKUP("Rocky Mountain Opal",'[2]Deloitte Forecast Input Real'!$2:$53,2+'[2]Deloitte Forecast Input Real'!A6,FALSE)</f>
        <v>3.15</v>
      </c>
      <c r="K44" s="37">
        <f>HLOOKUP("UK National Balancing Point",'[2]Deloitte Forecast Input Real'!$2:$53,2+'[2]Deloitte Forecast Input Real'!A6,FALSE)</f>
        <v>5.4</v>
      </c>
      <c r="L44" s="37">
        <f>HLOOKUP("India Domestic Gas",'[2]Deloitte Forecast Input Real'!$2:$53,2+'[2]Deloitte Forecast Input Real'!A6,FALSE)</f>
        <v>3.2</v>
      </c>
      <c r="M44" s="40">
        <f>HLOOKUP("Ethanol CBOT",'[2]Deloitte Forecast Input Real'!$2:$53,2+'[2]Deloitte Forecast Input Real'!A6,FALSE)</f>
        <v>1.5</v>
      </c>
      <c r="V44" s="53"/>
      <c r="W44" s="53"/>
    </row>
    <row r="45" spans="1:23" x14ac:dyDescent="0.2">
      <c r="A45" s="15" t="s">
        <v>63</v>
      </c>
      <c r="B45" s="18">
        <f t="shared" si="1"/>
        <v>2020</v>
      </c>
      <c r="C45" s="31">
        <f>HLOOKUP("British Pound",'[2]Deloitte Forecast Input Real'!$2:$53,2+'[2]Deloitte Forecast Input Real'!A7,FALSE)</f>
        <v>1.25</v>
      </c>
      <c r="D45" s="31">
        <f>HLOOKUP("Euro",'[2]Deloitte Forecast Input Real'!$2:$53,2+'[2]Deloitte Forecast Input Real'!A7,FALSE)</f>
        <v>1.05</v>
      </c>
      <c r="E45" s="94">
        <f>HLOOKUP("NYMEX Henry Hub",'[2]Deloitte Forecast Input Real'!$2:$53,2+'[2]Deloitte Forecast Input Real'!A7,FALSE)</f>
        <v>3.45</v>
      </c>
      <c r="F45" s="37">
        <f>HLOOKUP("Permian Waha",'[2]Deloitte Forecast Input Real'!$2:$53,2+'[2]Deloitte Forecast Input Real'!A7,FALSE)</f>
        <v>3.25</v>
      </c>
      <c r="G45" s="37">
        <f>HLOOKUP("San Juan Ignacio",'[2]Deloitte Forecast Input Real'!$2:$53,2+'[2]Deloitte Forecast Input Real'!A7,FALSE)</f>
        <v>3.25</v>
      </c>
      <c r="H45" s="37">
        <f>HLOOKUP("Gulf Coast (Onshore)",'[2]Deloitte Forecast Input Real'!$2:$53,2+'[2]Deloitte Forecast Input Real'!A7,FALSE)</f>
        <v>3.35</v>
      </c>
      <c r="I45" s="37">
        <f>HLOOKUP("Louisiana East Texas",'[2]Deloitte Forecast Input Real'!$2:$53,2+'[2]Deloitte Forecast Input Real'!A7,FALSE)</f>
        <v>3.35</v>
      </c>
      <c r="J45" s="37">
        <f>HLOOKUP("Rocky Mountain Opal",'[2]Deloitte Forecast Input Real'!$2:$53,2+'[2]Deloitte Forecast Input Real'!A7,FALSE)</f>
        <v>3.2</v>
      </c>
      <c r="K45" s="37">
        <f>HLOOKUP("UK National Balancing Point",'[2]Deloitte Forecast Input Real'!$2:$53,2+'[2]Deloitte Forecast Input Real'!A7,FALSE)</f>
        <v>5.45</v>
      </c>
      <c r="L45" s="37">
        <f>HLOOKUP("India Domestic Gas",'[2]Deloitte Forecast Input Real'!$2:$53,2+'[2]Deloitte Forecast Input Real'!A7,FALSE)</f>
        <v>3.25</v>
      </c>
      <c r="M45" s="40">
        <f>HLOOKUP("Ethanol CBOT",'[2]Deloitte Forecast Input Real'!$2:$53,2+'[2]Deloitte Forecast Input Real'!A7,FALSE)</f>
        <v>1.5</v>
      </c>
      <c r="V45" s="53"/>
      <c r="W45" s="53"/>
    </row>
    <row r="46" spans="1:23" x14ac:dyDescent="0.2">
      <c r="A46" s="15" t="s">
        <v>57</v>
      </c>
      <c r="B46" s="18">
        <f t="shared" si="1"/>
        <v>2021</v>
      </c>
      <c r="C46" s="31">
        <f>HLOOKUP("British Pound",'[2]Deloitte Forecast Input Real'!$2:$53,2+'[2]Deloitte Forecast Input Real'!A8,FALSE)</f>
        <v>1.25</v>
      </c>
      <c r="D46" s="31">
        <f>HLOOKUP("Euro",'[2]Deloitte Forecast Input Real'!$2:$53,2+'[2]Deloitte Forecast Input Real'!A8,FALSE)</f>
        <v>1.05</v>
      </c>
      <c r="E46" s="94">
        <f>HLOOKUP("NYMEX Henry Hub",'[2]Deloitte Forecast Input Real'!$2:$53,2+'[2]Deloitte Forecast Input Real'!A8,FALSE)</f>
        <v>3.5</v>
      </c>
      <c r="F46" s="37">
        <f>HLOOKUP("Permian Waha",'[2]Deloitte Forecast Input Real'!$2:$53,2+'[2]Deloitte Forecast Input Real'!A8,FALSE)</f>
        <v>3.3</v>
      </c>
      <c r="G46" s="37">
        <f>HLOOKUP("San Juan Ignacio",'[2]Deloitte Forecast Input Real'!$2:$53,2+'[2]Deloitte Forecast Input Real'!A8,FALSE)</f>
        <v>3.3</v>
      </c>
      <c r="H46" s="37">
        <f>HLOOKUP("Gulf Coast (Onshore)",'[2]Deloitte Forecast Input Real'!$2:$53,2+'[2]Deloitte Forecast Input Real'!A8,FALSE)</f>
        <v>3.4</v>
      </c>
      <c r="I46" s="37">
        <f>HLOOKUP("Louisiana East Texas",'[2]Deloitte Forecast Input Real'!$2:$53,2+'[2]Deloitte Forecast Input Real'!A8,FALSE)</f>
        <v>3.4</v>
      </c>
      <c r="J46" s="37">
        <f>HLOOKUP("Rocky Mountain Opal",'[2]Deloitte Forecast Input Real'!$2:$53,2+'[2]Deloitte Forecast Input Real'!A8,FALSE)</f>
        <v>3.25</v>
      </c>
      <c r="K46" s="37">
        <f>HLOOKUP("UK National Balancing Point",'[2]Deloitte Forecast Input Real'!$2:$53,2+'[2]Deloitte Forecast Input Real'!A8,FALSE)</f>
        <v>5.5</v>
      </c>
      <c r="L46" s="37">
        <f>HLOOKUP("India Domestic Gas",'[2]Deloitte Forecast Input Real'!$2:$53,2+'[2]Deloitte Forecast Input Real'!A8,FALSE)</f>
        <v>3.3000000000000003</v>
      </c>
      <c r="M46" s="40">
        <f>HLOOKUP("Ethanol CBOT",'[2]Deloitte Forecast Input Real'!$2:$53,2+'[2]Deloitte Forecast Input Real'!A8,FALSE)</f>
        <v>1.5</v>
      </c>
      <c r="V46" s="53"/>
      <c r="W46" s="53"/>
    </row>
    <row r="47" spans="1:23" x14ac:dyDescent="0.2">
      <c r="A47" s="15" t="s">
        <v>58</v>
      </c>
      <c r="B47" s="18">
        <f t="shared" si="1"/>
        <v>2022</v>
      </c>
      <c r="C47" s="31">
        <f>HLOOKUP("British Pound",'[2]Deloitte Forecast Input Real'!$2:$53,2+'[2]Deloitte Forecast Input Real'!A9,FALSE)</f>
        <v>1.25</v>
      </c>
      <c r="D47" s="31">
        <f>HLOOKUP("Euro",'[2]Deloitte Forecast Input Real'!$2:$53,2+'[2]Deloitte Forecast Input Real'!A9,FALSE)</f>
        <v>1.05</v>
      </c>
      <c r="E47" s="94">
        <f>HLOOKUP("NYMEX Henry Hub",'[2]Deloitte Forecast Input Real'!$2:$53,2+'[2]Deloitte Forecast Input Real'!A9,FALSE)</f>
        <v>3.6</v>
      </c>
      <c r="F47" s="37">
        <f>HLOOKUP("Permian Waha",'[2]Deloitte Forecast Input Real'!$2:$53,2+'[2]Deloitte Forecast Input Real'!A9,FALSE)</f>
        <v>3.4</v>
      </c>
      <c r="G47" s="37">
        <f>HLOOKUP("San Juan Ignacio",'[2]Deloitte Forecast Input Real'!$2:$53,2+'[2]Deloitte Forecast Input Real'!A9,FALSE)</f>
        <v>3.4</v>
      </c>
      <c r="H47" s="37">
        <f>HLOOKUP("Gulf Coast (Onshore)",'[2]Deloitte Forecast Input Real'!$2:$53,2+'[2]Deloitte Forecast Input Real'!A9,FALSE)</f>
        <v>3.5</v>
      </c>
      <c r="I47" s="37">
        <f>HLOOKUP("Louisiana East Texas",'[2]Deloitte Forecast Input Real'!$2:$53,2+'[2]Deloitte Forecast Input Real'!A9,FALSE)</f>
        <v>3.5</v>
      </c>
      <c r="J47" s="37">
        <f>HLOOKUP("Rocky Mountain Opal",'[2]Deloitte Forecast Input Real'!$2:$53,2+'[2]Deloitte Forecast Input Real'!A9,FALSE)</f>
        <v>3.35</v>
      </c>
      <c r="K47" s="37">
        <f>HLOOKUP("UK National Balancing Point",'[2]Deloitte Forecast Input Real'!$2:$53,2+'[2]Deloitte Forecast Input Real'!A9,FALSE)</f>
        <v>5.6</v>
      </c>
      <c r="L47" s="37">
        <f>HLOOKUP("India Domestic Gas",'[2]Deloitte Forecast Input Real'!$2:$53,2+'[2]Deloitte Forecast Input Real'!A9,FALSE)</f>
        <v>3.35</v>
      </c>
      <c r="M47" s="40">
        <f>HLOOKUP("Ethanol CBOT",'[2]Deloitte Forecast Input Real'!$2:$53,2+'[2]Deloitte Forecast Input Real'!A9,FALSE)</f>
        <v>1.5</v>
      </c>
      <c r="V47" s="53"/>
      <c r="W47" s="53"/>
    </row>
    <row r="48" spans="1:23" x14ac:dyDescent="0.2">
      <c r="A48" s="15" t="s">
        <v>53</v>
      </c>
      <c r="B48" s="18">
        <f t="shared" si="1"/>
        <v>2023</v>
      </c>
      <c r="C48" s="31">
        <f>HLOOKUP("British Pound",'[2]Deloitte Forecast Input Real'!$2:$53,2+'[2]Deloitte Forecast Input Real'!A10,FALSE)</f>
        <v>1.25</v>
      </c>
      <c r="D48" s="31">
        <f>HLOOKUP("Euro",'[2]Deloitte Forecast Input Real'!$2:$53,2+'[2]Deloitte Forecast Input Real'!A10,FALSE)</f>
        <v>1.05</v>
      </c>
      <c r="E48" s="94">
        <f>HLOOKUP("NYMEX Henry Hub",'[2]Deloitte Forecast Input Real'!$2:$53,2+'[2]Deloitte Forecast Input Real'!A10,FALSE)</f>
        <v>3.75</v>
      </c>
      <c r="F48" s="37">
        <f>HLOOKUP("Permian Waha",'[2]Deloitte Forecast Input Real'!$2:$53,2+'[2]Deloitte Forecast Input Real'!A10,FALSE)</f>
        <v>3.55</v>
      </c>
      <c r="G48" s="37">
        <f>HLOOKUP("San Juan Ignacio",'[2]Deloitte Forecast Input Real'!$2:$53,2+'[2]Deloitte Forecast Input Real'!A10,FALSE)</f>
        <v>3.55</v>
      </c>
      <c r="H48" s="37">
        <f>HLOOKUP("Gulf Coast (Onshore)",'[2]Deloitte Forecast Input Real'!$2:$53,2+'[2]Deloitte Forecast Input Real'!A10,FALSE)</f>
        <v>3.65</v>
      </c>
      <c r="I48" s="37">
        <f>HLOOKUP("Louisiana East Texas",'[2]Deloitte Forecast Input Real'!$2:$53,2+'[2]Deloitte Forecast Input Real'!A10,FALSE)</f>
        <v>3.65</v>
      </c>
      <c r="J48" s="37">
        <f>HLOOKUP("Rocky Mountain Opal",'[2]Deloitte Forecast Input Real'!$2:$53,2+'[2]Deloitte Forecast Input Real'!A10,FALSE)</f>
        <v>3.5</v>
      </c>
      <c r="K48" s="37">
        <f>HLOOKUP("UK National Balancing Point",'[2]Deloitte Forecast Input Real'!$2:$53,2+'[2]Deloitte Forecast Input Real'!A10,FALSE)</f>
        <v>5.75</v>
      </c>
      <c r="L48" s="37">
        <f>HLOOKUP("India Domestic Gas",'[2]Deloitte Forecast Input Real'!$2:$53,2+'[2]Deloitte Forecast Input Real'!A10,FALSE)</f>
        <v>3.4499999999999997</v>
      </c>
      <c r="M48" s="40">
        <f>HLOOKUP("Ethanol CBOT",'[2]Deloitte Forecast Input Real'!$2:$53,2+'[2]Deloitte Forecast Input Real'!A10,FALSE)</f>
        <v>1.5</v>
      </c>
      <c r="V48" s="53"/>
      <c r="W48" s="53"/>
    </row>
    <row r="49" spans="1:23" x14ac:dyDescent="0.2">
      <c r="A49" s="15" t="s">
        <v>54</v>
      </c>
      <c r="B49" s="18">
        <f t="shared" si="1"/>
        <v>2024</v>
      </c>
      <c r="C49" s="31">
        <f>HLOOKUP("British Pound",'[2]Deloitte Forecast Input Real'!$2:$53,2+'[2]Deloitte Forecast Input Real'!A11,FALSE)</f>
        <v>1.25</v>
      </c>
      <c r="D49" s="31">
        <f>HLOOKUP("Euro",'[2]Deloitte Forecast Input Real'!$2:$53,2+'[2]Deloitte Forecast Input Real'!A11,FALSE)</f>
        <v>1.05</v>
      </c>
      <c r="E49" s="94">
        <f>HLOOKUP("NYMEX Henry Hub",'[2]Deloitte Forecast Input Real'!$2:$53,2+'[2]Deloitte Forecast Input Real'!A11,FALSE)</f>
        <v>3.9</v>
      </c>
      <c r="F49" s="37">
        <f>HLOOKUP("Permian Waha",'[2]Deloitte Forecast Input Real'!$2:$53,2+'[2]Deloitte Forecast Input Real'!A11,FALSE)</f>
        <v>3.6999999999999997</v>
      </c>
      <c r="G49" s="37">
        <f>HLOOKUP("San Juan Ignacio",'[2]Deloitte Forecast Input Real'!$2:$53,2+'[2]Deloitte Forecast Input Real'!A11,FALSE)</f>
        <v>3.6999999999999997</v>
      </c>
      <c r="H49" s="37">
        <f>HLOOKUP("Gulf Coast (Onshore)",'[2]Deloitte Forecast Input Real'!$2:$53,2+'[2]Deloitte Forecast Input Real'!A11,FALSE)</f>
        <v>3.8</v>
      </c>
      <c r="I49" s="37">
        <f>HLOOKUP("Louisiana East Texas",'[2]Deloitte Forecast Input Real'!$2:$53,2+'[2]Deloitte Forecast Input Real'!A11,FALSE)</f>
        <v>3.8</v>
      </c>
      <c r="J49" s="37">
        <f>HLOOKUP("Rocky Mountain Opal",'[2]Deloitte Forecast Input Real'!$2:$53,2+'[2]Deloitte Forecast Input Real'!A11,FALSE)</f>
        <v>3.65</v>
      </c>
      <c r="K49" s="37">
        <f>HLOOKUP("UK National Balancing Point",'[2]Deloitte Forecast Input Real'!$2:$53,2+'[2]Deloitte Forecast Input Real'!A11,FALSE)</f>
        <v>5.9</v>
      </c>
      <c r="L49" s="37">
        <f>HLOOKUP("India Domestic Gas",'[2]Deloitte Forecast Input Real'!$2:$53,2+'[2]Deloitte Forecast Input Real'!A11,FALSE)</f>
        <v>3.5999999999999996</v>
      </c>
      <c r="M49" s="40">
        <f>HLOOKUP("Ethanol CBOT",'[2]Deloitte Forecast Input Real'!$2:$53,2+'[2]Deloitte Forecast Input Real'!A11,FALSE)</f>
        <v>1.5</v>
      </c>
      <c r="V49" s="53"/>
      <c r="W49" s="53"/>
    </row>
    <row r="50" spans="1:23" x14ac:dyDescent="0.2">
      <c r="A50" s="15"/>
      <c r="B50" s="18">
        <f t="shared" si="1"/>
        <v>2025</v>
      </c>
      <c r="C50" s="31">
        <f>HLOOKUP("British Pound",'[2]Deloitte Forecast Input Real'!$2:$53,2+'[2]Deloitte Forecast Input Real'!A12,FALSE)</f>
        <v>1.25</v>
      </c>
      <c r="D50" s="31">
        <f>HLOOKUP("Euro",'[2]Deloitte Forecast Input Real'!$2:$53,2+'[2]Deloitte Forecast Input Real'!A12,FALSE)</f>
        <v>1.05</v>
      </c>
      <c r="E50" s="94">
        <f>HLOOKUP("NYMEX Henry Hub",'[2]Deloitte Forecast Input Real'!$2:$53,2+'[2]Deloitte Forecast Input Real'!A12,FALSE)</f>
        <v>4</v>
      </c>
      <c r="F50" s="37">
        <f>HLOOKUP("Permian Waha",'[2]Deloitte Forecast Input Real'!$2:$53,2+'[2]Deloitte Forecast Input Real'!A12,FALSE)</f>
        <v>3.8</v>
      </c>
      <c r="G50" s="37">
        <f>HLOOKUP("San Juan Ignacio",'[2]Deloitte Forecast Input Real'!$2:$53,2+'[2]Deloitte Forecast Input Real'!A12,FALSE)</f>
        <v>3.8</v>
      </c>
      <c r="H50" s="37">
        <f>HLOOKUP("Gulf Coast (Onshore)",'[2]Deloitte Forecast Input Real'!$2:$53,2+'[2]Deloitte Forecast Input Real'!A12,FALSE)</f>
        <v>3.9</v>
      </c>
      <c r="I50" s="37">
        <f>HLOOKUP("Louisiana East Texas",'[2]Deloitte Forecast Input Real'!$2:$53,2+'[2]Deloitte Forecast Input Real'!A12,FALSE)</f>
        <v>3.9</v>
      </c>
      <c r="J50" s="37">
        <f>HLOOKUP("Rocky Mountain Opal",'[2]Deloitte Forecast Input Real'!$2:$53,2+'[2]Deloitte Forecast Input Real'!A12,FALSE)</f>
        <v>3.75</v>
      </c>
      <c r="K50" s="37">
        <f>HLOOKUP("UK National Balancing Point",'[2]Deloitte Forecast Input Real'!$2:$53,2+'[2]Deloitte Forecast Input Real'!A12,FALSE)</f>
        <v>6</v>
      </c>
      <c r="L50" s="37">
        <f>HLOOKUP("India Domestic Gas",'[2]Deloitte Forecast Input Real'!$2:$53,2+'[2]Deloitte Forecast Input Real'!A12,FALSE)</f>
        <v>3.75</v>
      </c>
      <c r="M50" s="40">
        <f>HLOOKUP("Ethanol CBOT",'[2]Deloitte Forecast Input Real'!$2:$53,2+'[2]Deloitte Forecast Input Real'!A12,FALSE)</f>
        <v>1.5</v>
      </c>
      <c r="V50" s="53"/>
      <c r="W50" s="53"/>
    </row>
    <row r="51" spans="1:23" x14ac:dyDescent="0.2">
      <c r="A51" s="11"/>
      <c r="B51" s="18">
        <f t="shared" si="1"/>
        <v>2026</v>
      </c>
      <c r="C51" s="31">
        <f>HLOOKUP("British Pound",'[2]Deloitte Forecast Input Real'!$2:$53,2+'[2]Deloitte Forecast Input Real'!A13,FALSE)</f>
        <v>1.25</v>
      </c>
      <c r="D51" s="31">
        <f>HLOOKUP("Euro",'[2]Deloitte Forecast Input Real'!$2:$53,2+'[2]Deloitte Forecast Input Real'!A13,FALSE)</f>
        <v>1.05</v>
      </c>
      <c r="E51" s="94">
        <f>HLOOKUP("NYMEX Henry Hub",'[2]Deloitte Forecast Input Real'!$2:$53,2+'[2]Deloitte Forecast Input Real'!A13,FALSE)</f>
        <v>4.05</v>
      </c>
      <c r="F51" s="37">
        <f>HLOOKUP("Permian Waha",'[2]Deloitte Forecast Input Real'!$2:$53,2+'[2]Deloitte Forecast Input Real'!A13,FALSE)</f>
        <v>3.8499999999999996</v>
      </c>
      <c r="G51" s="37">
        <f>HLOOKUP("San Juan Ignacio",'[2]Deloitte Forecast Input Real'!$2:$53,2+'[2]Deloitte Forecast Input Real'!A13,FALSE)</f>
        <v>3.8499999999999996</v>
      </c>
      <c r="H51" s="37">
        <f>HLOOKUP("Gulf Coast (Onshore)",'[2]Deloitte Forecast Input Real'!$2:$53,2+'[2]Deloitte Forecast Input Real'!A13,FALSE)</f>
        <v>3.9499999999999997</v>
      </c>
      <c r="I51" s="37">
        <f>HLOOKUP("Louisiana East Texas",'[2]Deloitte Forecast Input Real'!$2:$53,2+'[2]Deloitte Forecast Input Real'!A13,FALSE)</f>
        <v>3.9499999999999997</v>
      </c>
      <c r="J51" s="37">
        <f>HLOOKUP("Rocky Mountain Opal",'[2]Deloitte Forecast Input Real'!$2:$53,2+'[2]Deloitte Forecast Input Real'!A13,FALSE)</f>
        <v>3.8</v>
      </c>
      <c r="K51" s="37">
        <f>HLOOKUP("UK National Balancing Point",'[2]Deloitte Forecast Input Real'!$2:$53,2+'[2]Deloitte Forecast Input Real'!A13,FALSE)</f>
        <v>6.05</v>
      </c>
      <c r="L51" s="37">
        <f>HLOOKUP("India Domestic Gas",'[2]Deloitte Forecast Input Real'!$2:$53,2+'[2]Deloitte Forecast Input Real'!A13,FALSE)</f>
        <v>3.85</v>
      </c>
      <c r="M51" s="40">
        <f>HLOOKUP("Ethanol CBOT",'[2]Deloitte Forecast Input Real'!$2:$53,2+'[2]Deloitte Forecast Input Real'!A13,FALSE)</f>
        <v>1.5</v>
      </c>
      <c r="V51" s="53"/>
      <c r="W51" s="53"/>
    </row>
    <row r="52" spans="1:23" x14ac:dyDescent="0.2">
      <c r="A52" s="11"/>
      <c r="B52" s="18">
        <f t="shared" si="1"/>
        <v>2027</v>
      </c>
      <c r="C52" s="31">
        <f>HLOOKUP("British Pound",'[2]Deloitte Forecast Input Real'!$2:$53,2+'[2]Deloitte Forecast Input Real'!A14,FALSE)</f>
        <v>1.25</v>
      </c>
      <c r="D52" s="31">
        <f>HLOOKUP("Euro",'[2]Deloitte Forecast Input Real'!$2:$53,2+'[2]Deloitte Forecast Input Real'!A14,FALSE)</f>
        <v>1.05</v>
      </c>
      <c r="E52" s="94">
        <f>HLOOKUP("NYMEX Henry Hub",'[2]Deloitte Forecast Input Real'!$2:$53,2+'[2]Deloitte Forecast Input Real'!A14,FALSE)</f>
        <v>4.0999999999999996</v>
      </c>
      <c r="F52" s="37">
        <f>HLOOKUP("Permian Waha",'[2]Deloitte Forecast Input Real'!$2:$53,2+'[2]Deloitte Forecast Input Real'!A14,FALSE)</f>
        <v>3.8999999999999995</v>
      </c>
      <c r="G52" s="37">
        <f>HLOOKUP("San Juan Ignacio",'[2]Deloitte Forecast Input Real'!$2:$53,2+'[2]Deloitte Forecast Input Real'!A14,FALSE)</f>
        <v>3.8999999999999995</v>
      </c>
      <c r="H52" s="37">
        <f>HLOOKUP("Gulf Coast (Onshore)",'[2]Deloitte Forecast Input Real'!$2:$53,2+'[2]Deloitte Forecast Input Real'!A14,FALSE)</f>
        <v>3.9999999999999996</v>
      </c>
      <c r="I52" s="37">
        <f>HLOOKUP("Louisiana East Texas",'[2]Deloitte Forecast Input Real'!$2:$53,2+'[2]Deloitte Forecast Input Real'!A14,FALSE)</f>
        <v>3.9999999999999996</v>
      </c>
      <c r="J52" s="37">
        <f>HLOOKUP("Rocky Mountain Opal",'[2]Deloitte Forecast Input Real'!$2:$53,2+'[2]Deloitte Forecast Input Real'!A14,FALSE)</f>
        <v>3.8499999999999996</v>
      </c>
      <c r="K52" s="37">
        <f>HLOOKUP("UK National Balancing Point",'[2]Deloitte Forecast Input Real'!$2:$53,2+'[2]Deloitte Forecast Input Real'!A14,FALSE)</f>
        <v>6.1</v>
      </c>
      <c r="L52" s="37">
        <f>HLOOKUP("India Domestic Gas",'[2]Deloitte Forecast Input Real'!$2:$53,2+'[2]Deloitte Forecast Input Real'!A14,FALSE)</f>
        <v>3.9000000000000004</v>
      </c>
      <c r="M52" s="40">
        <f>HLOOKUP("Ethanol CBOT",'[2]Deloitte Forecast Input Real'!$2:$53,2+'[2]Deloitte Forecast Input Real'!A14,FALSE)</f>
        <v>1.5</v>
      </c>
      <c r="V52" s="53"/>
      <c r="W52" s="53"/>
    </row>
    <row r="53" spans="1:23" x14ac:dyDescent="0.2">
      <c r="A53" s="11"/>
      <c r="B53" s="18">
        <f t="shared" si="1"/>
        <v>2028</v>
      </c>
      <c r="C53" s="31">
        <f>HLOOKUP("British Pound",'[2]Deloitte Forecast Input Real'!$2:$53,2+'[2]Deloitte Forecast Input Real'!A15,FALSE)</f>
        <v>1.25</v>
      </c>
      <c r="D53" s="31">
        <f>HLOOKUP("Euro",'[2]Deloitte Forecast Input Real'!$2:$53,2+'[2]Deloitte Forecast Input Real'!A15,FALSE)</f>
        <v>1.05</v>
      </c>
      <c r="E53" s="94">
        <f>HLOOKUP("NYMEX Henry Hub",'[2]Deloitte Forecast Input Real'!$2:$53,2+'[2]Deloitte Forecast Input Real'!A15,FALSE)</f>
        <v>4.0999999999999996</v>
      </c>
      <c r="F53" s="37">
        <f>HLOOKUP("Permian Waha",'[2]Deloitte Forecast Input Real'!$2:$53,2+'[2]Deloitte Forecast Input Real'!A15,FALSE)</f>
        <v>3.8999999999999995</v>
      </c>
      <c r="G53" s="37">
        <f>HLOOKUP("San Juan Ignacio",'[2]Deloitte Forecast Input Real'!$2:$53,2+'[2]Deloitte Forecast Input Real'!A15,FALSE)</f>
        <v>3.8999999999999995</v>
      </c>
      <c r="H53" s="37">
        <f>HLOOKUP("Gulf Coast (Onshore)",'[2]Deloitte Forecast Input Real'!$2:$53,2+'[2]Deloitte Forecast Input Real'!A15,FALSE)</f>
        <v>3.9999999999999996</v>
      </c>
      <c r="I53" s="37">
        <f>HLOOKUP("Louisiana East Texas",'[2]Deloitte Forecast Input Real'!$2:$53,2+'[2]Deloitte Forecast Input Real'!A15,FALSE)</f>
        <v>3.9999999999999996</v>
      </c>
      <c r="J53" s="37">
        <f>HLOOKUP("Rocky Mountain Opal",'[2]Deloitte Forecast Input Real'!$2:$53,2+'[2]Deloitte Forecast Input Real'!A15,FALSE)</f>
        <v>3.8499999999999996</v>
      </c>
      <c r="K53" s="37">
        <f>HLOOKUP("UK National Balancing Point",'[2]Deloitte Forecast Input Real'!$2:$53,2+'[2]Deloitte Forecast Input Real'!A15,FALSE)</f>
        <v>6.1</v>
      </c>
      <c r="L53" s="37">
        <f>HLOOKUP("India Domestic Gas",'[2]Deloitte Forecast Input Real'!$2:$53,2+'[2]Deloitte Forecast Input Real'!A15,FALSE)</f>
        <v>3.95</v>
      </c>
      <c r="M53" s="40">
        <f>HLOOKUP("Ethanol CBOT",'[2]Deloitte Forecast Input Real'!$2:$53,2+'[2]Deloitte Forecast Input Real'!A15,FALSE)</f>
        <v>1.5</v>
      </c>
      <c r="V53" s="53"/>
      <c r="W53" s="53"/>
    </row>
    <row r="54" spans="1:23" x14ac:dyDescent="0.2">
      <c r="A54" s="11"/>
      <c r="B54" s="18">
        <f t="shared" si="1"/>
        <v>2029</v>
      </c>
      <c r="C54" s="31">
        <f>HLOOKUP("British Pound",'[2]Deloitte Forecast Input Real'!$2:$53,2+'[2]Deloitte Forecast Input Real'!A16,FALSE)</f>
        <v>1.25</v>
      </c>
      <c r="D54" s="31">
        <f>HLOOKUP("Euro",'[2]Deloitte Forecast Input Real'!$2:$53,2+'[2]Deloitte Forecast Input Real'!A16,FALSE)</f>
        <v>1.05</v>
      </c>
      <c r="E54" s="94">
        <f>HLOOKUP("NYMEX Henry Hub",'[2]Deloitte Forecast Input Real'!$2:$53,2+'[2]Deloitte Forecast Input Real'!A16,FALSE)</f>
        <v>4.0999999999999996</v>
      </c>
      <c r="F54" s="37">
        <f>HLOOKUP("Permian Waha",'[2]Deloitte Forecast Input Real'!$2:$53,2+'[2]Deloitte Forecast Input Real'!A16,FALSE)</f>
        <v>3.8999999999999995</v>
      </c>
      <c r="G54" s="37">
        <f>HLOOKUP("San Juan Ignacio",'[2]Deloitte Forecast Input Real'!$2:$53,2+'[2]Deloitte Forecast Input Real'!A16,FALSE)</f>
        <v>3.8999999999999995</v>
      </c>
      <c r="H54" s="37">
        <f>HLOOKUP("Gulf Coast (Onshore)",'[2]Deloitte Forecast Input Real'!$2:$53,2+'[2]Deloitte Forecast Input Real'!A16,FALSE)</f>
        <v>3.9999999999999996</v>
      </c>
      <c r="I54" s="37">
        <f>HLOOKUP("Louisiana East Texas",'[2]Deloitte Forecast Input Real'!$2:$53,2+'[2]Deloitte Forecast Input Real'!A16,FALSE)</f>
        <v>3.9999999999999996</v>
      </c>
      <c r="J54" s="37">
        <f>HLOOKUP("Rocky Mountain Opal",'[2]Deloitte Forecast Input Real'!$2:$53,2+'[2]Deloitte Forecast Input Real'!A16,FALSE)</f>
        <v>3.8499999999999996</v>
      </c>
      <c r="K54" s="37">
        <f>HLOOKUP("UK National Balancing Point",'[2]Deloitte Forecast Input Real'!$2:$53,2+'[2]Deloitte Forecast Input Real'!A16,FALSE)</f>
        <v>6.1</v>
      </c>
      <c r="L54" s="37">
        <f>HLOOKUP("India Domestic Gas",'[2]Deloitte Forecast Input Real'!$2:$53,2+'[2]Deloitte Forecast Input Real'!A16,FALSE)</f>
        <v>3.95</v>
      </c>
      <c r="M54" s="40">
        <f>HLOOKUP("Ethanol CBOT",'[2]Deloitte Forecast Input Real'!$2:$53,2+'[2]Deloitte Forecast Input Real'!A16,FALSE)</f>
        <v>1.5</v>
      </c>
      <c r="V54" s="53"/>
      <c r="W54" s="53"/>
    </row>
    <row r="55" spans="1:23" x14ac:dyDescent="0.2">
      <c r="A55" s="11"/>
      <c r="B55" s="18">
        <f t="shared" si="1"/>
        <v>2030</v>
      </c>
      <c r="C55" s="31">
        <f>HLOOKUP("British Pound",'[2]Deloitte Forecast Input Real'!$2:$53,2+'[2]Deloitte Forecast Input Real'!A17,FALSE)</f>
        <v>1.25</v>
      </c>
      <c r="D55" s="31">
        <f>HLOOKUP("Euro",'[2]Deloitte Forecast Input Real'!$2:$53,2+'[2]Deloitte Forecast Input Real'!A17,FALSE)</f>
        <v>1.05</v>
      </c>
      <c r="E55" s="94">
        <f>HLOOKUP("NYMEX Henry Hub",'[2]Deloitte Forecast Input Real'!$2:$53,2+'[2]Deloitte Forecast Input Real'!A17,FALSE)</f>
        <v>4.0999999999999996</v>
      </c>
      <c r="F55" s="37">
        <f>HLOOKUP("Permian Waha",'[2]Deloitte Forecast Input Real'!$2:$53,2+'[2]Deloitte Forecast Input Real'!A17,FALSE)</f>
        <v>3.8999999999999995</v>
      </c>
      <c r="G55" s="37">
        <f>HLOOKUP("San Juan Ignacio",'[2]Deloitte Forecast Input Real'!$2:$53,2+'[2]Deloitte Forecast Input Real'!A17,FALSE)</f>
        <v>3.8999999999999995</v>
      </c>
      <c r="H55" s="37">
        <f>HLOOKUP("Gulf Coast (Onshore)",'[2]Deloitte Forecast Input Real'!$2:$53,2+'[2]Deloitte Forecast Input Real'!A17,FALSE)</f>
        <v>3.9999999999999996</v>
      </c>
      <c r="I55" s="37">
        <f>HLOOKUP("Louisiana East Texas",'[2]Deloitte Forecast Input Real'!$2:$53,2+'[2]Deloitte Forecast Input Real'!A17,FALSE)</f>
        <v>3.9999999999999996</v>
      </c>
      <c r="J55" s="37">
        <f>HLOOKUP("Rocky Mountain Opal",'[2]Deloitte Forecast Input Real'!$2:$53,2+'[2]Deloitte Forecast Input Real'!A17,FALSE)</f>
        <v>3.8499999999999996</v>
      </c>
      <c r="K55" s="37">
        <f>HLOOKUP("UK National Balancing Point",'[2]Deloitte Forecast Input Real'!$2:$53,2+'[2]Deloitte Forecast Input Real'!A17,FALSE)</f>
        <v>6.1</v>
      </c>
      <c r="L55" s="37">
        <f>HLOOKUP("India Domestic Gas",'[2]Deloitte Forecast Input Real'!$2:$53,2+'[2]Deloitte Forecast Input Real'!A17,FALSE)</f>
        <v>3.95</v>
      </c>
      <c r="M55" s="40">
        <f>HLOOKUP("Ethanol CBOT",'[2]Deloitte Forecast Input Real'!$2:$53,2+'[2]Deloitte Forecast Input Real'!A17,FALSE)</f>
        <v>1.5</v>
      </c>
      <c r="V55" s="53"/>
      <c r="W55" s="53"/>
    </row>
    <row r="56" spans="1:23" x14ac:dyDescent="0.2">
      <c r="A56" s="11"/>
      <c r="B56" s="18">
        <f t="shared" si="1"/>
        <v>2031</v>
      </c>
      <c r="C56" s="31">
        <f>HLOOKUP("British Pound",'[2]Deloitte Forecast Input Real'!$2:$53,2+'[2]Deloitte Forecast Input Real'!A18,FALSE)</f>
        <v>1.25</v>
      </c>
      <c r="D56" s="31">
        <f>HLOOKUP("Euro",'[2]Deloitte Forecast Input Real'!$2:$53,2+'[2]Deloitte Forecast Input Real'!A18,FALSE)</f>
        <v>1.05</v>
      </c>
      <c r="E56" s="94">
        <f>HLOOKUP("NYMEX Henry Hub",'[2]Deloitte Forecast Input Real'!$2:$53,2+'[2]Deloitte Forecast Input Real'!A18,FALSE)</f>
        <v>4.0999999999999996</v>
      </c>
      <c r="F56" s="37">
        <f>HLOOKUP("Permian Waha",'[2]Deloitte Forecast Input Real'!$2:$53,2+'[2]Deloitte Forecast Input Real'!A18,FALSE)</f>
        <v>3.8999999999999995</v>
      </c>
      <c r="G56" s="37">
        <f>HLOOKUP("San Juan Ignacio",'[2]Deloitte Forecast Input Real'!$2:$53,2+'[2]Deloitte Forecast Input Real'!A18,FALSE)</f>
        <v>3.8999999999999995</v>
      </c>
      <c r="H56" s="37">
        <f>HLOOKUP("Gulf Coast (Onshore)",'[2]Deloitte Forecast Input Real'!$2:$53,2+'[2]Deloitte Forecast Input Real'!A18,FALSE)</f>
        <v>3.9999999999999996</v>
      </c>
      <c r="I56" s="37">
        <f>HLOOKUP("Louisiana East Texas",'[2]Deloitte Forecast Input Real'!$2:$53,2+'[2]Deloitte Forecast Input Real'!A18,FALSE)</f>
        <v>3.9999999999999996</v>
      </c>
      <c r="J56" s="37">
        <f>HLOOKUP("Rocky Mountain Opal",'[2]Deloitte Forecast Input Real'!$2:$53,2+'[2]Deloitte Forecast Input Real'!A18,FALSE)</f>
        <v>3.8499999999999996</v>
      </c>
      <c r="K56" s="37">
        <f>HLOOKUP("UK National Balancing Point",'[2]Deloitte Forecast Input Real'!$2:$53,2+'[2]Deloitte Forecast Input Real'!A18,FALSE)</f>
        <v>6.1</v>
      </c>
      <c r="L56" s="37">
        <f>HLOOKUP("India Domestic Gas",'[2]Deloitte Forecast Input Real'!$2:$53,2+'[2]Deloitte Forecast Input Real'!A18,FALSE)</f>
        <v>3.95</v>
      </c>
      <c r="M56" s="40">
        <f>HLOOKUP("Ethanol CBOT",'[2]Deloitte Forecast Input Real'!$2:$53,2+'[2]Deloitte Forecast Input Real'!A18,FALSE)</f>
        <v>1.5</v>
      </c>
      <c r="V56" s="53"/>
      <c r="W56" s="53"/>
    </row>
    <row r="57" spans="1:23" x14ac:dyDescent="0.2">
      <c r="A57" s="11"/>
      <c r="B57" s="18">
        <f t="shared" si="1"/>
        <v>2032</v>
      </c>
      <c r="C57" s="31">
        <f>HLOOKUP("British Pound",'[2]Deloitte Forecast Input Real'!$2:$53,2+'[2]Deloitte Forecast Input Real'!A19,FALSE)</f>
        <v>1.25</v>
      </c>
      <c r="D57" s="31">
        <f>HLOOKUP("Euro",'[2]Deloitte Forecast Input Real'!$2:$53,2+'[2]Deloitte Forecast Input Real'!A19,FALSE)</f>
        <v>1.05</v>
      </c>
      <c r="E57" s="94">
        <f>HLOOKUP("NYMEX Henry Hub",'[2]Deloitte Forecast Input Real'!$2:$53,2+'[2]Deloitte Forecast Input Real'!A19,FALSE)</f>
        <v>4.0999999999999996</v>
      </c>
      <c r="F57" s="37">
        <f>HLOOKUP("Permian Waha",'[2]Deloitte Forecast Input Real'!$2:$53,2+'[2]Deloitte Forecast Input Real'!A19,FALSE)</f>
        <v>3.8999999999999995</v>
      </c>
      <c r="G57" s="37">
        <f>HLOOKUP("San Juan Ignacio",'[2]Deloitte Forecast Input Real'!$2:$53,2+'[2]Deloitte Forecast Input Real'!A19,FALSE)</f>
        <v>3.8999999999999995</v>
      </c>
      <c r="H57" s="37">
        <f>HLOOKUP("Gulf Coast (Onshore)",'[2]Deloitte Forecast Input Real'!$2:$53,2+'[2]Deloitte Forecast Input Real'!A19,FALSE)</f>
        <v>3.9999999999999996</v>
      </c>
      <c r="I57" s="37">
        <f>HLOOKUP("Louisiana East Texas",'[2]Deloitte Forecast Input Real'!$2:$53,2+'[2]Deloitte Forecast Input Real'!A19,FALSE)</f>
        <v>3.9999999999999996</v>
      </c>
      <c r="J57" s="37">
        <f>HLOOKUP("Rocky Mountain Opal",'[2]Deloitte Forecast Input Real'!$2:$53,2+'[2]Deloitte Forecast Input Real'!A19,FALSE)</f>
        <v>3.8499999999999996</v>
      </c>
      <c r="K57" s="37">
        <f>HLOOKUP("UK National Balancing Point",'[2]Deloitte Forecast Input Real'!$2:$53,2+'[2]Deloitte Forecast Input Real'!A19,FALSE)</f>
        <v>6.1</v>
      </c>
      <c r="L57" s="37">
        <f>HLOOKUP("India Domestic Gas",'[2]Deloitte Forecast Input Real'!$2:$53,2+'[2]Deloitte Forecast Input Real'!A19,FALSE)</f>
        <v>3.95</v>
      </c>
      <c r="M57" s="40">
        <f>HLOOKUP("Ethanol CBOT",'[2]Deloitte Forecast Input Real'!$2:$53,2+'[2]Deloitte Forecast Input Real'!A19,FALSE)</f>
        <v>1.5</v>
      </c>
      <c r="V57" s="53"/>
      <c r="W57" s="53"/>
    </row>
    <row r="58" spans="1:23" x14ac:dyDescent="0.2">
      <c r="A58" s="11"/>
      <c r="B58" s="18">
        <f t="shared" si="1"/>
        <v>2033</v>
      </c>
      <c r="C58" s="31">
        <f>HLOOKUP("British Pound",'[2]Deloitte Forecast Input Real'!$2:$53,2+'[2]Deloitte Forecast Input Real'!A20,FALSE)</f>
        <v>1.25</v>
      </c>
      <c r="D58" s="31">
        <f>HLOOKUP("Euro",'[2]Deloitte Forecast Input Real'!$2:$53,2+'[2]Deloitte Forecast Input Real'!A20,FALSE)</f>
        <v>1.05</v>
      </c>
      <c r="E58" s="94">
        <f>HLOOKUP("NYMEX Henry Hub",'[2]Deloitte Forecast Input Real'!$2:$53,2+'[2]Deloitte Forecast Input Real'!A20,FALSE)</f>
        <v>4.0999999999999996</v>
      </c>
      <c r="F58" s="37">
        <f>HLOOKUP("Permian Waha",'[2]Deloitte Forecast Input Real'!$2:$53,2+'[2]Deloitte Forecast Input Real'!A20,FALSE)</f>
        <v>3.8999999999999995</v>
      </c>
      <c r="G58" s="37">
        <f>HLOOKUP("San Juan Ignacio",'[2]Deloitte Forecast Input Real'!$2:$53,2+'[2]Deloitte Forecast Input Real'!A20,FALSE)</f>
        <v>3.8999999999999995</v>
      </c>
      <c r="H58" s="37">
        <f>HLOOKUP("Gulf Coast (Onshore)",'[2]Deloitte Forecast Input Real'!$2:$53,2+'[2]Deloitte Forecast Input Real'!A20,FALSE)</f>
        <v>3.9999999999999996</v>
      </c>
      <c r="I58" s="37">
        <f>HLOOKUP("Louisiana East Texas",'[2]Deloitte Forecast Input Real'!$2:$53,2+'[2]Deloitte Forecast Input Real'!A20,FALSE)</f>
        <v>3.9999999999999996</v>
      </c>
      <c r="J58" s="37">
        <f>HLOOKUP("Rocky Mountain Opal",'[2]Deloitte Forecast Input Real'!$2:$53,2+'[2]Deloitte Forecast Input Real'!A20,FALSE)</f>
        <v>3.8499999999999996</v>
      </c>
      <c r="K58" s="37">
        <f>HLOOKUP("UK National Balancing Point",'[2]Deloitte Forecast Input Real'!$2:$53,2+'[2]Deloitte Forecast Input Real'!A20,FALSE)</f>
        <v>6.1</v>
      </c>
      <c r="L58" s="37">
        <f>HLOOKUP("India Domestic Gas",'[2]Deloitte Forecast Input Real'!$2:$53,2+'[2]Deloitte Forecast Input Real'!A20,FALSE)</f>
        <v>3.95</v>
      </c>
      <c r="M58" s="40">
        <f>HLOOKUP("Ethanol CBOT",'[2]Deloitte Forecast Input Real'!$2:$53,2+'[2]Deloitte Forecast Input Real'!A20,FALSE)</f>
        <v>1.5</v>
      </c>
      <c r="V58" s="53"/>
      <c r="W58" s="53"/>
    </row>
    <row r="59" spans="1:23" x14ac:dyDescent="0.2">
      <c r="A59" s="11"/>
      <c r="B59" s="18">
        <f t="shared" si="1"/>
        <v>2034</v>
      </c>
      <c r="C59" s="31">
        <f>HLOOKUP("British Pound",'[2]Deloitte Forecast Input Real'!$2:$53,2+'[2]Deloitte Forecast Input Real'!A21,FALSE)</f>
        <v>1.25</v>
      </c>
      <c r="D59" s="31">
        <f>HLOOKUP("Euro",'[2]Deloitte Forecast Input Real'!$2:$53,2+'[2]Deloitte Forecast Input Real'!A21,FALSE)</f>
        <v>1.05</v>
      </c>
      <c r="E59" s="94">
        <f>HLOOKUP("NYMEX Henry Hub",'[2]Deloitte Forecast Input Real'!$2:$53,2+'[2]Deloitte Forecast Input Real'!A21,FALSE)</f>
        <v>4.0999999999999996</v>
      </c>
      <c r="F59" s="37">
        <f>HLOOKUP("Permian Waha",'[2]Deloitte Forecast Input Real'!$2:$53,2+'[2]Deloitte Forecast Input Real'!A21,FALSE)</f>
        <v>3.8999999999999995</v>
      </c>
      <c r="G59" s="37">
        <f>HLOOKUP("San Juan Ignacio",'[2]Deloitte Forecast Input Real'!$2:$53,2+'[2]Deloitte Forecast Input Real'!A21,FALSE)</f>
        <v>3.8999999999999995</v>
      </c>
      <c r="H59" s="37">
        <f>HLOOKUP("Gulf Coast (Onshore)",'[2]Deloitte Forecast Input Real'!$2:$53,2+'[2]Deloitte Forecast Input Real'!A21,FALSE)</f>
        <v>3.9999999999999996</v>
      </c>
      <c r="I59" s="37">
        <f>HLOOKUP("Louisiana East Texas",'[2]Deloitte Forecast Input Real'!$2:$53,2+'[2]Deloitte Forecast Input Real'!A21,FALSE)</f>
        <v>3.9999999999999996</v>
      </c>
      <c r="J59" s="37">
        <f>HLOOKUP("Rocky Mountain Opal",'[2]Deloitte Forecast Input Real'!$2:$53,2+'[2]Deloitte Forecast Input Real'!A21,FALSE)</f>
        <v>3.8499999999999996</v>
      </c>
      <c r="K59" s="37">
        <f>HLOOKUP("UK National Balancing Point",'[2]Deloitte Forecast Input Real'!$2:$53,2+'[2]Deloitte Forecast Input Real'!A21,FALSE)</f>
        <v>6.1</v>
      </c>
      <c r="L59" s="37">
        <f>HLOOKUP("India Domestic Gas",'[2]Deloitte Forecast Input Real'!$2:$53,2+'[2]Deloitte Forecast Input Real'!A21,FALSE)</f>
        <v>3.95</v>
      </c>
      <c r="M59" s="40">
        <f>HLOOKUP("Ethanol CBOT",'[2]Deloitte Forecast Input Real'!$2:$53,2+'[2]Deloitte Forecast Input Real'!A21,FALSE)</f>
        <v>1.5</v>
      </c>
      <c r="V59" s="53"/>
      <c r="W59" s="53"/>
    </row>
    <row r="60" spans="1:23" x14ac:dyDescent="0.2">
      <c r="A60" s="11"/>
      <c r="B60" s="18">
        <f t="shared" si="1"/>
        <v>2035</v>
      </c>
      <c r="C60" s="31">
        <f>HLOOKUP("British Pound",'[2]Deloitte Forecast Input Real'!$2:$53,2+'[2]Deloitte Forecast Input Real'!A22,FALSE)</f>
        <v>1.25</v>
      </c>
      <c r="D60" s="31">
        <f>HLOOKUP("Euro",'[2]Deloitte Forecast Input Real'!$2:$53,2+'[2]Deloitte Forecast Input Real'!A22,FALSE)</f>
        <v>1.05</v>
      </c>
      <c r="E60" s="94">
        <f>HLOOKUP("NYMEX Henry Hub",'[2]Deloitte Forecast Input Real'!$2:$53,2+'[2]Deloitte Forecast Input Real'!A22,FALSE)</f>
        <v>4.0999999999999996</v>
      </c>
      <c r="F60" s="37">
        <f>HLOOKUP("Permian Waha",'[2]Deloitte Forecast Input Real'!$2:$53,2+'[2]Deloitte Forecast Input Real'!A22,FALSE)</f>
        <v>3.8999999999999995</v>
      </c>
      <c r="G60" s="37">
        <f>HLOOKUP("San Juan Ignacio",'[2]Deloitte Forecast Input Real'!$2:$53,2+'[2]Deloitte Forecast Input Real'!A22,FALSE)</f>
        <v>3.8999999999999995</v>
      </c>
      <c r="H60" s="37">
        <f>HLOOKUP("Gulf Coast (Onshore)",'[2]Deloitte Forecast Input Real'!$2:$53,2+'[2]Deloitte Forecast Input Real'!A22,FALSE)</f>
        <v>3.9999999999999996</v>
      </c>
      <c r="I60" s="37">
        <f>HLOOKUP("Louisiana East Texas",'[2]Deloitte Forecast Input Real'!$2:$53,2+'[2]Deloitte Forecast Input Real'!A22,FALSE)</f>
        <v>3.9999999999999996</v>
      </c>
      <c r="J60" s="37">
        <f>HLOOKUP("Rocky Mountain Opal",'[2]Deloitte Forecast Input Real'!$2:$53,2+'[2]Deloitte Forecast Input Real'!A22,FALSE)</f>
        <v>3.8499999999999996</v>
      </c>
      <c r="K60" s="37">
        <f>HLOOKUP("UK National Balancing Point",'[2]Deloitte Forecast Input Real'!$2:$53,2+'[2]Deloitte Forecast Input Real'!A22,FALSE)</f>
        <v>6.1</v>
      </c>
      <c r="L60" s="37">
        <f>HLOOKUP("India Domestic Gas",'[2]Deloitte Forecast Input Real'!$2:$53,2+'[2]Deloitte Forecast Input Real'!A22,FALSE)</f>
        <v>3.95</v>
      </c>
      <c r="M60" s="40">
        <f>HLOOKUP("Ethanol CBOT",'[2]Deloitte Forecast Input Real'!$2:$53,2+'[2]Deloitte Forecast Input Real'!A22,FALSE)</f>
        <v>1.5</v>
      </c>
      <c r="V60" s="53"/>
      <c r="W60" s="53"/>
    </row>
    <row r="61" spans="1:23" x14ac:dyDescent="0.2">
      <c r="A61" s="11"/>
      <c r="B61" s="18">
        <f t="shared" si="1"/>
        <v>2036</v>
      </c>
      <c r="C61" s="31">
        <f>HLOOKUP("British Pound",'[2]Deloitte Forecast Input Real'!$2:$53,2+'[2]Deloitte Forecast Input Real'!A23,FALSE)</f>
        <v>1.25</v>
      </c>
      <c r="D61" s="31">
        <f>HLOOKUP("Euro",'[2]Deloitte Forecast Input Real'!$2:$53,2+'[2]Deloitte Forecast Input Real'!A23,FALSE)</f>
        <v>1.05</v>
      </c>
      <c r="E61" s="94">
        <f>HLOOKUP("NYMEX Henry Hub",'[2]Deloitte Forecast Input Real'!$2:$53,2+'[2]Deloitte Forecast Input Real'!A23,FALSE)</f>
        <v>4.0999999999999996</v>
      </c>
      <c r="F61" s="37">
        <f>HLOOKUP("Permian Waha",'[2]Deloitte Forecast Input Real'!$2:$53,2+'[2]Deloitte Forecast Input Real'!A23,FALSE)</f>
        <v>3.8999999999999995</v>
      </c>
      <c r="G61" s="37">
        <f>HLOOKUP("San Juan Ignacio",'[2]Deloitte Forecast Input Real'!$2:$53,2+'[2]Deloitte Forecast Input Real'!A23,FALSE)</f>
        <v>3.8999999999999995</v>
      </c>
      <c r="H61" s="37">
        <f>HLOOKUP("Gulf Coast (Onshore)",'[2]Deloitte Forecast Input Real'!$2:$53,2+'[2]Deloitte Forecast Input Real'!A23,FALSE)</f>
        <v>3.9999999999999996</v>
      </c>
      <c r="I61" s="37">
        <f>HLOOKUP("Louisiana East Texas",'[2]Deloitte Forecast Input Real'!$2:$53,2+'[2]Deloitte Forecast Input Real'!A23,FALSE)</f>
        <v>3.9999999999999996</v>
      </c>
      <c r="J61" s="37">
        <f>HLOOKUP("Rocky Mountain Opal",'[2]Deloitte Forecast Input Real'!$2:$53,2+'[2]Deloitte Forecast Input Real'!A23,FALSE)</f>
        <v>3.8499999999999996</v>
      </c>
      <c r="K61" s="37">
        <f>HLOOKUP("UK National Balancing Point",'[2]Deloitte Forecast Input Real'!$2:$53,2+'[2]Deloitte Forecast Input Real'!A23,FALSE)</f>
        <v>6.1</v>
      </c>
      <c r="L61" s="37">
        <f>HLOOKUP("India Domestic Gas",'[2]Deloitte Forecast Input Real'!$2:$53,2+'[2]Deloitte Forecast Input Real'!A23,FALSE)</f>
        <v>3.95</v>
      </c>
      <c r="M61" s="40">
        <f>HLOOKUP("Ethanol CBOT",'[2]Deloitte Forecast Input Real'!$2:$53,2+'[2]Deloitte Forecast Input Real'!A23,FALSE)</f>
        <v>1.5</v>
      </c>
      <c r="V61" s="53"/>
      <c r="W61" s="53"/>
    </row>
    <row r="62" spans="1:23" x14ac:dyDescent="0.2">
      <c r="A62" s="23"/>
      <c r="B62" s="30" t="str">
        <f>B61&amp;"+"</f>
        <v>2036+</v>
      </c>
      <c r="C62" s="95">
        <f>HLOOKUP("British Pound",'[2]Deloitte Forecast Input Real'!$2:$53,2+'[2]Deloitte Forecast Input Real'!A24,FALSE)</f>
        <v>1.25</v>
      </c>
      <c r="D62" s="59">
        <f>HLOOKUP("Euro",'[2]Deloitte Forecast Input Real'!$2:$53,2+'[2]Deloitte Forecast Input Real'!A24,FALSE)</f>
        <v>1.05</v>
      </c>
      <c r="E62" s="60">
        <v>0</v>
      </c>
      <c r="F62" s="58">
        <v>0</v>
      </c>
      <c r="G62" s="58">
        <v>0</v>
      </c>
      <c r="H62" s="58">
        <v>0</v>
      </c>
      <c r="I62" s="58">
        <v>0</v>
      </c>
      <c r="J62" s="58">
        <v>0</v>
      </c>
      <c r="K62" s="58">
        <v>0</v>
      </c>
      <c r="L62" s="58">
        <v>0</v>
      </c>
      <c r="M62" s="62">
        <v>0</v>
      </c>
      <c r="V62" s="53"/>
      <c r="W62" s="53"/>
    </row>
    <row r="63" spans="1:23" x14ac:dyDescent="0.2">
      <c r="N63" s="13"/>
      <c r="O63" s="13"/>
      <c r="P63" s="13"/>
      <c r="Q63" s="13"/>
      <c r="R63" s="13"/>
      <c r="S63" s="13"/>
      <c r="T63" s="13"/>
      <c r="U63" s="13"/>
      <c r="V63" s="53"/>
      <c r="W63" s="53"/>
    </row>
    <row r="64" spans="1:23" x14ac:dyDescent="0.2">
      <c r="B64" s="53" t="s">
        <v>64</v>
      </c>
      <c r="C64" s="96" t="str">
        <f>'[2]Front Page'!C26</f>
        <v>Venezuelan Merey replaced BCF-17 in the OPEC basket March 1, 2009.</v>
      </c>
      <c r="D64" s="53"/>
      <c r="J64" s="12"/>
      <c r="K64" s="16"/>
      <c r="L64" s="31"/>
      <c r="M64" s="31"/>
      <c r="N64" s="13"/>
      <c r="O64" s="13"/>
      <c r="P64" s="13"/>
      <c r="Q64" s="13"/>
      <c r="R64" s="13"/>
      <c r="S64" s="13"/>
      <c r="T64" s="13"/>
      <c r="U64" s="13"/>
      <c r="V64" s="53"/>
      <c r="W64" s="53"/>
    </row>
    <row r="65" spans="1:25" x14ac:dyDescent="0.2">
      <c r="M65" s="53"/>
      <c r="N65" s="53"/>
      <c r="O65" s="53"/>
      <c r="P65" s="53"/>
      <c r="Q65" s="53"/>
      <c r="R65" s="53"/>
      <c r="S65" s="53"/>
      <c r="T65" s="53"/>
      <c r="U65" s="53"/>
      <c r="V65" s="53"/>
      <c r="W65" s="53"/>
    </row>
    <row r="66" spans="1:25" x14ac:dyDescent="0.2">
      <c r="M66" s="53"/>
      <c r="N66" s="53"/>
      <c r="O66" s="53"/>
      <c r="P66" s="53"/>
      <c r="Q66" s="53"/>
      <c r="R66" s="53"/>
      <c r="S66" s="53"/>
      <c r="T66" s="53"/>
      <c r="U66" s="53"/>
      <c r="V66" s="53"/>
      <c r="W66" s="53"/>
    </row>
    <row r="67" spans="1:25" x14ac:dyDescent="0.2">
      <c r="A67" s="53"/>
      <c r="B67" s="53"/>
      <c r="C67" s="53"/>
      <c r="D67" s="53"/>
      <c r="E67" s="53"/>
      <c r="F67" s="53"/>
      <c r="G67" s="53"/>
      <c r="H67" s="53"/>
      <c r="I67" s="53"/>
      <c r="J67" s="53"/>
      <c r="K67" s="5"/>
      <c r="L67" s="5"/>
      <c r="M67" s="53"/>
      <c r="N67" s="53"/>
      <c r="O67" s="53"/>
      <c r="P67" s="53"/>
      <c r="Q67" s="53"/>
      <c r="R67" s="53"/>
      <c r="S67" s="53"/>
      <c r="T67" s="53"/>
      <c r="U67" s="53"/>
      <c r="V67" s="53"/>
      <c r="W67" s="53"/>
    </row>
    <row r="68" spans="1:25" ht="12.75" customHeight="1" x14ac:dyDescent="0.2">
      <c r="A68" s="53"/>
      <c r="B68" s="121" t="s">
        <v>66</v>
      </c>
      <c r="C68" s="121"/>
      <c r="D68" s="121"/>
      <c r="E68" s="121"/>
      <c r="F68" s="121"/>
      <c r="G68" s="121"/>
      <c r="H68" s="121"/>
      <c r="I68" s="121"/>
      <c r="J68" s="121"/>
      <c r="K68" s="121"/>
      <c r="L68" s="121"/>
      <c r="M68" s="121"/>
      <c r="N68" s="121"/>
      <c r="O68" s="121"/>
      <c r="P68" s="121"/>
      <c r="Q68" s="121"/>
      <c r="R68" s="121"/>
      <c r="S68" s="97"/>
      <c r="T68" s="97"/>
      <c r="U68" s="97"/>
      <c r="V68" s="97"/>
      <c r="W68" s="97"/>
      <c r="X68" s="98"/>
      <c r="Y68" s="98"/>
    </row>
    <row r="69" spans="1:25" x14ac:dyDescent="0.2">
      <c r="A69" s="53"/>
      <c r="B69" s="121"/>
      <c r="C69" s="121"/>
      <c r="D69" s="121"/>
      <c r="E69" s="121"/>
      <c r="F69" s="121"/>
      <c r="G69" s="121"/>
      <c r="H69" s="121"/>
      <c r="I69" s="121"/>
      <c r="J69" s="121"/>
      <c r="K69" s="121"/>
      <c r="L69" s="121"/>
      <c r="M69" s="121"/>
      <c r="N69" s="121"/>
      <c r="O69" s="121"/>
      <c r="P69" s="121"/>
      <c r="Q69" s="121"/>
      <c r="R69" s="121"/>
      <c r="S69" s="97"/>
      <c r="T69" s="97"/>
      <c r="U69" s="97"/>
      <c r="V69" s="97"/>
      <c r="W69" s="97"/>
      <c r="X69" s="98"/>
      <c r="Y69" s="98"/>
    </row>
    <row r="70" spans="1:25" x14ac:dyDescent="0.2">
      <c r="A70" s="53"/>
      <c r="B70" s="121"/>
      <c r="C70" s="121"/>
      <c r="D70" s="121"/>
      <c r="E70" s="121"/>
      <c r="F70" s="121"/>
      <c r="G70" s="121"/>
      <c r="H70" s="121"/>
      <c r="I70" s="121"/>
      <c r="J70" s="121"/>
      <c r="K70" s="121"/>
      <c r="L70" s="121"/>
      <c r="M70" s="121"/>
      <c r="N70" s="121"/>
      <c r="O70" s="121"/>
      <c r="P70" s="121"/>
      <c r="Q70" s="121"/>
      <c r="R70" s="121"/>
      <c r="S70" s="97"/>
      <c r="T70" s="97"/>
      <c r="U70" s="97"/>
      <c r="V70" s="97"/>
      <c r="W70" s="97"/>
      <c r="X70" s="98"/>
      <c r="Y70" s="98"/>
    </row>
    <row r="71" spans="1:25" x14ac:dyDescent="0.2">
      <c r="A71" s="99"/>
      <c r="B71" s="121"/>
      <c r="C71" s="121"/>
      <c r="D71" s="121"/>
      <c r="E71" s="121"/>
      <c r="F71" s="121"/>
      <c r="G71" s="121"/>
      <c r="H71" s="121"/>
      <c r="I71" s="121"/>
      <c r="J71" s="121"/>
      <c r="K71" s="121"/>
      <c r="L71" s="121"/>
      <c r="M71" s="121"/>
      <c r="N71" s="121"/>
      <c r="O71" s="121"/>
      <c r="P71" s="121"/>
      <c r="Q71" s="121"/>
      <c r="R71" s="121"/>
      <c r="S71" s="97"/>
      <c r="T71" s="97"/>
      <c r="U71" s="97"/>
      <c r="V71" s="97"/>
      <c r="W71" s="97"/>
      <c r="X71" s="98"/>
      <c r="Y71" s="98"/>
    </row>
    <row r="72" spans="1:25" x14ac:dyDescent="0.2">
      <c r="A72" s="98"/>
      <c r="B72" s="98"/>
      <c r="C72" s="98"/>
      <c r="D72" s="98"/>
      <c r="E72" s="98"/>
      <c r="F72" s="98"/>
      <c r="G72" s="98"/>
      <c r="H72" s="98"/>
      <c r="I72" s="98"/>
      <c r="J72" s="98"/>
      <c r="K72" s="98"/>
      <c r="L72" s="98"/>
      <c r="M72" s="98"/>
      <c r="N72" s="98"/>
      <c r="O72" s="98"/>
      <c r="P72" s="98"/>
      <c r="Q72" s="98"/>
      <c r="R72" s="98"/>
      <c r="S72" s="98"/>
      <c r="T72" s="98"/>
      <c r="U72" s="98"/>
      <c r="V72" s="98"/>
      <c r="W72" s="98"/>
    </row>
  </sheetData>
  <mergeCells count="7">
    <mergeCell ref="B68:R71"/>
    <mergeCell ref="A1:R1"/>
    <mergeCell ref="A2:R2"/>
    <mergeCell ref="A3:R3"/>
    <mergeCell ref="A4:R4"/>
    <mergeCell ref="C6:R6"/>
    <mergeCell ref="E35:L35"/>
  </mergeCells>
  <pageMargins left="0.7" right="0.7" top="0.75" bottom="0.75" header="0.3" footer="0.3"/>
  <pageSetup scale="57"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400"/>
    <pageSetUpPr fitToPage="1"/>
  </sheetPr>
  <dimension ref="A1:AB54"/>
  <sheetViews>
    <sheetView tabSelected="1" zoomScale="85" zoomScaleNormal="85" workbookViewId="0">
      <selection sqref="A1:AB1"/>
    </sheetView>
  </sheetViews>
  <sheetFormatPr defaultColWidth="9.140625" defaultRowHeight="12.75" x14ac:dyDescent="0.2"/>
  <cols>
    <col min="1" max="1" width="3.7109375" customWidth="1"/>
    <col min="3" max="3" width="12" customWidth="1"/>
    <col min="4" max="4" width="11.42578125" bestFit="1" customWidth="1"/>
    <col min="5" max="6" width="9.7109375" bestFit="1" customWidth="1"/>
    <col min="7" max="9" width="9.85546875" bestFit="1" customWidth="1"/>
    <col min="10" max="12" width="9.7109375" bestFit="1" customWidth="1"/>
    <col min="13" max="13" width="12.140625" bestFit="1" customWidth="1"/>
    <col min="14" max="14" width="9.7109375" bestFit="1" customWidth="1"/>
    <col min="15" max="16" width="11.85546875" bestFit="1" customWidth="1"/>
    <col min="17" max="17" width="12" bestFit="1" customWidth="1"/>
    <col min="18" max="19" width="9.7109375" bestFit="1" customWidth="1"/>
    <col min="20" max="20" width="9.85546875" bestFit="1" customWidth="1"/>
    <col min="21" max="23" width="9.7109375" bestFit="1" customWidth="1"/>
    <col min="24" max="24" width="10.28515625" bestFit="1" customWidth="1"/>
    <col min="25" max="25" width="10.7109375" bestFit="1" customWidth="1"/>
    <col min="26" max="26" width="10.85546875" bestFit="1" customWidth="1"/>
    <col min="27" max="28" width="9.7109375" bestFit="1" customWidth="1"/>
  </cols>
  <sheetData>
    <row r="1" spans="1:28" x14ac:dyDescent="0.2">
      <c r="A1" s="117" t="s">
        <v>0</v>
      </c>
      <c r="B1" s="117"/>
      <c r="C1" s="117"/>
      <c r="D1" s="117"/>
      <c r="E1" s="117"/>
      <c r="F1" s="117"/>
      <c r="G1" s="117"/>
      <c r="H1" s="117"/>
      <c r="I1" s="117"/>
      <c r="J1" s="117"/>
      <c r="K1" s="117"/>
      <c r="L1" s="117"/>
      <c r="M1" s="117"/>
      <c r="N1" s="117"/>
      <c r="O1" s="117"/>
      <c r="P1" s="117"/>
      <c r="Q1" s="117"/>
      <c r="R1" s="117"/>
      <c r="S1" s="117"/>
      <c r="T1" s="117"/>
      <c r="U1" s="117"/>
      <c r="V1" s="117"/>
      <c r="W1" s="117"/>
      <c r="X1" s="117"/>
      <c r="Y1" s="117"/>
      <c r="Z1" s="117"/>
      <c r="AA1" s="117"/>
      <c r="AB1" s="117"/>
    </row>
    <row r="2" spans="1:28" x14ac:dyDescent="0.2">
      <c r="A2" s="117" t="s">
        <v>84</v>
      </c>
      <c r="B2" s="117"/>
      <c r="C2" s="117"/>
      <c r="D2" s="117"/>
      <c r="E2" s="117"/>
      <c r="F2" s="117"/>
      <c r="G2" s="117"/>
      <c r="H2" s="117"/>
      <c r="I2" s="117"/>
      <c r="J2" s="117"/>
      <c r="K2" s="117"/>
      <c r="L2" s="117"/>
      <c r="M2" s="117"/>
      <c r="N2" s="117"/>
      <c r="O2" s="117"/>
      <c r="P2" s="117"/>
      <c r="Q2" s="117"/>
      <c r="R2" s="117"/>
      <c r="S2" s="117"/>
      <c r="T2" s="117"/>
      <c r="U2" s="117"/>
      <c r="V2" s="117"/>
      <c r="W2" s="117"/>
      <c r="X2" s="117"/>
      <c r="Y2" s="117"/>
      <c r="Z2" s="117"/>
      <c r="AA2" s="117"/>
      <c r="AB2" s="117"/>
    </row>
    <row r="3" spans="1:28" x14ac:dyDescent="0.2">
      <c r="A3" s="117" t="str">
        <f>"Base Case Forecast Effective " &amp; TEXT(EFFDATE,"MMMM DD YYYY")</f>
        <v>Base Case Forecast Effective December 31 2016</v>
      </c>
      <c r="B3" s="117"/>
      <c r="C3" s="117"/>
      <c r="D3" s="117"/>
      <c r="E3" s="117"/>
      <c r="F3" s="117"/>
      <c r="G3" s="117"/>
      <c r="H3" s="117"/>
      <c r="I3" s="117"/>
      <c r="J3" s="117"/>
      <c r="K3" s="117"/>
      <c r="L3" s="117"/>
      <c r="M3" s="117"/>
      <c r="N3" s="117"/>
      <c r="O3" s="117"/>
      <c r="P3" s="117"/>
      <c r="Q3" s="117"/>
      <c r="R3" s="117"/>
      <c r="S3" s="117"/>
      <c r="T3" s="117"/>
      <c r="U3" s="117"/>
      <c r="V3" s="117"/>
      <c r="W3" s="117"/>
      <c r="X3" s="117"/>
      <c r="Y3" s="117"/>
      <c r="Z3" s="117"/>
      <c r="AA3" s="117"/>
      <c r="AB3" s="117"/>
    </row>
    <row r="4" spans="1:28" x14ac:dyDescent="0.2">
      <c r="A4" s="117" t="s">
        <v>138</v>
      </c>
      <c r="B4" s="117"/>
      <c r="C4" s="117"/>
      <c r="D4" s="117"/>
      <c r="E4" s="117"/>
      <c r="F4" s="117"/>
      <c r="G4" s="117"/>
      <c r="H4" s="117"/>
      <c r="I4" s="117"/>
      <c r="J4" s="117"/>
      <c r="K4" s="117"/>
      <c r="L4" s="117"/>
      <c r="M4" s="117"/>
      <c r="N4" s="117"/>
      <c r="O4" s="117"/>
      <c r="P4" s="117"/>
      <c r="Q4" s="117"/>
      <c r="R4" s="117"/>
      <c r="S4" s="117"/>
      <c r="T4" s="117"/>
      <c r="U4" s="117"/>
      <c r="V4" s="117"/>
      <c r="W4" s="117"/>
      <c r="X4" s="117"/>
      <c r="Y4" s="117"/>
      <c r="Z4" s="117"/>
      <c r="AA4" s="117"/>
      <c r="AB4" s="117"/>
    </row>
    <row r="5" spans="1:28" x14ac:dyDescent="0.2">
      <c r="A5" s="53"/>
      <c r="B5" s="53"/>
      <c r="C5" s="53"/>
      <c r="D5" s="53"/>
      <c r="E5" s="53"/>
      <c r="F5" s="53"/>
      <c r="G5" s="53"/>
      <c r="H5" s="53"/>
      <c r="I5" s="53"/>
      <c r="J5" s="53"/>
      <c r="K5" s="5"/>
      <c r="L5" s="5"/>
      <c r="M5" s="53"/>
      <c r="N5" s="53"/>
      <c r="O5" s="53"/>
      <c r="P5" s="53"/>
      <c r="Q5" s="53"/>
      <c r="R5" s="53"/>
      <c r="S5" s="53"/>
      <c r="T5" s="53"/>
      <c r="U5" s="53"/>
      <c r="V5" s="53"/>
      <c r="W5" s="53"/>
    </row>
    <row r="6" spans="1:28" x14ac:dyDescent="0.2">
      <c r="A6" s="6"/>
      <c r="B6" s="74" t="s">
        <v>2</v>
      </c>
      <c r="C6" s="67"/>
      <c r="D6" s="69"/>
      <c r="E6" s="118" t="s">
        <v>3</v>
      </c>
      <c r="F6" s="119"/>
      <c r="G6" s="119"/>
      <c r="H6" s="119"/>
      <c r="I6" s="119"/>
      <c r="J6" s="119"/>
      <c r="K6" s="119"/>
      <c r="L6" s="119"/>
      <c r="M6" s="119"/>
      <c r="N6" s="119"/>
      <c r="O6" s="119"/>
      <c r="P6" s="119"/>
      <c r="Q6" s="119"/>
      <c r="R6" s="119"/>
      <c r="S6" s="119"/>
      <c r="T6" s="120"/>
      <c r="U6" s="118" t="s">
        <v>68</v>
      </c>
      <c r="V6" s="119"/>
      <c r="W6" s="119"/>
      <c r="X6" s="119"/>
      <c r="Y6" s="119"/>
      <c r="Z6" s="119"/>
      <c r="AA6" s="120"/>
      <c r="AB6" s="69" t="s">
        <v>121</v>
      </c>
    </row>
    <row r="7" spans="1:28" x14ac:dyDescent="0.2">
      <c r="A7" s="11"/>
      <c r="B7" s="75"/>
      <c r="C7" s="15"/>
      <c r="D7" s="18"/>
      <c r="E7" s="16"/>
      <c r="F7" s="16"/>
      <c r="G7" s="16"/>
      <c r="H7" s="16"/>
      <c r="I7" s="16"/>
      <c r="J7" s="16"/>
      <c r="K7" s="76"/>
      <c r="L7" s="16"/>
      <c r="M7" s="16"/>
      <c r="N7" s="16"/>
      <c r="O7" s="16"/>
      <c r="P7" s="16"/>
      <c r="Q7" s="16"/>
      <c r="R7" s="70"/>
      <c r="S7" s="70"/>
      <c r="T7" s="71"/>
      <c r="U7" s="70"/>
      <c r="V7" s="70"/>
      <c r="W7" s="70"/>
      <c r="X7" s="70"/>
      <c r="Y7" s="70"/>
      <c r="Z7" s="70"/>
      <c r="AA7" s="71"/>
      <c r="AB7" s="71"/>
    </row>
    <row r="8" spans="1:28" x14ac:dyDescent="0.2">
      <c r="A8" s="11"/>
      <c r="B8" s="75"/>
      <c r="C8" s="78"/>
      <c r="D8" s="80"/>
      <c r="E8" s="76" t="s">
        <v>24</v>
      </c>
      <c r="F8" s="76" t="s">
        <v>139</v>
      </c>
      <c r="G8" s="76" t="s">
        <v>88</v>
      </c>
      <c r="H8" s="76" t="s">
        <v>89</v>
      </c>
      <c r="I8" s="76" t="s">
        <v>89</v>
      </c>
      <c r="J8" s="76" t="s">
        <v>90</v>
      </c>
      <c r="K8" s="76" t="s">
        <v>91</v>
      </c>
      <c r="L8" s="76"/>
      <c r="M8" s="16" t="s">
        <v>86</v>
      </c>
      <c r="N8" s="76" t="s">
        <v>24</v>
      </c>
      <c r="O8" s="76"/>
      <c r="P8" s="76"/>
      <c r="Q8" s="76"/>
      <c r="R8" s="76"/>
      <c r="S8" s="76"/>
      <c r="T8" s="80"/>
      <c r="U8" s="76" t="s">
        <v>17</v>
      </c>
      <c r="V8" s="76"/>
      <c r="W8" s="76"/>
      <c r="X8" s="76"/>
      <c r="Y8" s="76"/>
      <c r="Z8" s="76"/>
      <c r="AA8" s="80"/>
      <c r="AB8" s="80" t="s">
        <v>122</v>
      </c>
    </row>
    <row r="9" spans="1:28" x14ac:dyDescent="0.2">
      <c r="A9" s="11"/>
      <c r="B9" s="75"/>
      <c r="C9" s="78"/>
      <c r="D9" s="80"/>
      <c r="E9" s="76" t="s">
        <v>93</v>
      </c>
      <c r="F9" s="76" t="s">
        <v>94</v>
      </c>
      <c r="G9" s="76" t="s">
        <v>95</v>
      </c>
      <c r="H9" s="76" t="s">
        <v>96</v>
      </c>
      <c r="I9" s="76" t="s">
        <v>97</v>
      </c>
      <c r="J9" s="76" t="s">
        <v>98</v>
      </c>
      <c r="K9" s="76" t="s">
        <v>99</v>
      </c>
      <c r="L9" s="76" t="s">
        <v>100</v>
      </c>
      <c r="M9" s="76" t="s">
        <v>92</v>
      </c>
      <c r="N9" s="76" t="s">
        <v>102</v>
      </c>
      <c r="O9" s="76" t="s">
        <v>103</v>
      </c>
      <c r="P9" s="76" t="s">
        <v>104</v>
      </c>
      <c r="Q9" s="76" t="s">
        <v>105</v>
      </c>
      <c r="R9" s="76" t="s">
        <v>106</v>
      </c>
      <c r="S9" s="76" t="s">
        <v>107</v>
      </c>
      <c r="T9" s="80" t="s">
        <v>108</v>
      </c>
      <c r="U9" s="76" t="s">
        <v>26</v>
      </c>
      <c r="V9" s="76" t="s">
        <v>123</v>
      </c>
      <c r="W9" s="76" t="s">
        <v>124</v>
      </c>
      <c r="X9" s="76" t="s">
        <v>86</v>
      </c>
      <c r="Y9" s="76" t="s">
        <v>89</v>
      </c>
      <c r="Z9" s="76" t="s">
        <v>125</v>
      </c>
      <c r="AA9" s="80"/>
      <c r="AB9" s="80" t="s">
        <v>127</v>
      </c>
    </row>
    <row r="10" spans="1:28" x14ac:dyDescent="0.2">
      <c r="A10" s="11"/>
      <c r="B10" s="75"/>
      <c r="C10" s="78" t="s">
        <v>128</v>
      </c>
      <c r="D10" s="80" t="s">
        <v>129</v>
      </c>
      <c r="E10" s="76" t="s">
        <v>109</v>
      </c>
      <c r="F10" s="76" t="s">
        <v>110</v>
      </c>
      <c r="G10" s="76" t="s">
        <v>111</v>
      </c>
      <c r="H10" s="76" t="s">
        <v>99</v>
      </c>
      <c r="I10" s="76" t="s">
        <v>99</v>
      </c>
      <c r="J10" s="76"/>
      <c r="K10" s="76"/>
      <c r="L10" s="76" t="s">
        <v>109</v>
      </c>
      <c r="M10" s="76" t="s">
        <v>101</v>
      </c>
      <c r="N10" s="76" t="s">
        <v>113</v>
      </c>
      <c r="O10" s="76" t="s">
        <v>114</v>
      </c>
      <c r="P10" s="76" t="s">
        <v>115</v>
      </c>
      <c r="Q10" s="76" t="s">
        <v>116</v>
      </c>
      <c r="R10" s="76" t="s">
        <v>117</v>
      </c>
      <c r="S10" s="76" t="s">
        <v>118</v>
      </c>
      <c r="T10" s="80" t="s">
        <v>119</v>
      </c>
      <c r="U10" s="76" t="s">
        <v>38</v>
      </c>
      <c r="V10" s="76" t="s">
        <v>130</v>
      </c>
      <c r="W10" s="76" t="s">
        <v>131</v>
      </c>
      <c r="X10" s="76" t="s">
        <v>140</v>
      </c>
      <c r="Y10" s="76" t="s">
        <v>133</v>
      </c>
      <c r="Z10" s="76" t="s">
        <v>134</v>
      </c>
      <c r="AA10" s="80" t="s">
        <v>135</v>
      </c>
      <c r="AB10" s="80" t="s">
        <v>121</v>
      </c>
    </row>
    <row r="11" spans="1:28" x14ac:dyDescent="0.2">
      <c r="A11" s="11"/>
      <c r="B11" s="18"/>
      <c r="C11" s="78" t="s">
        <v>41</v>
      </c>
      <c r="D11" s="80" t="s">
        <v>41</v>
      </c>
      <c r="E11" s="76" t="s">
        <v>120</v>
      </c>
      <c r="F11" s="76" t="s">
        <v>120</v>
      </c>
      <c r="G11" s="76" t="s">
        <v>120</v>
      </c>
      <c r="H11" s="76" t="s">
        <v>120</v>
      </c>
      <c r="I11" s="76" t="s">
        <v>120</v>
      </c>
      <c r="J11" s="76" t="s">
        <v>120</v>
      </c>
      <c r="K11" s="76" t="s">
        <v>120</v>
      </c>
      <c r="L11" s="76" t="s">
        <v>120</v>
      </c>
      <c r="M11" s="76" t="s">
        <v>120</v>
      </c>
      <c r="N11" s="76" t="s">
        <v>120</v>
      </c>
      <c r="O11" s="76" t="s">
        <v>120</v>
      </c>
      <c r="P11" s="76" t="s">
        <v>120</v>
      </c>
      <c r="Q11" s="76" t="s">
        <v>120</v>
      </c>
      <c r="R11" s="76" t="s">
        <v>120</v>
      </c>
      <c r="S11" s="76" t="s">
        <v>120</v>
      </c>
      <c r="T11" s="80" t="s">
        <v>120</v>
      </c>
      <c r="U11" s="76" t="s">
        <v>46</v>
      </c>
      <c r="V11" s="76" t="s">
        <v>46</v>
      </c>
      <c r="W11" s="76" t="s">
        <v>46</v>
      </c>
      <c r="X11" s="76" t="s">
        <v>46</v>
      </c>
      <c r="Y11" s="76" t="s">
        <v>46</v>
      </c>
      <c r="Z11" s="76" t="s">
        <v>46</v>
      </c>
      <c r="AA11" s="80" t="s">
        <v>46</v>
      </c>
      <c r="AB11" s="80" t="s">
        <v>137</v>
      </c>
    </row>
    <row r="12" spans="1:28" x14ac:dyDescent="0.2">
      <c r="A12" s="23"/>
      <c r="B12" s="81"/>
      <c r="C12" s="82" t="s">
        <v>48</v>
      </c>
      <c r="D12" s="84" t="s">
        <v>48</v>
      </c>
      <c r="E12" s="83" t="s">
        <v>141</v>
      </c>
      <c r="F12" s="83" t="s">
        <v>141</v>
      </c>
      <c r="G12" s="83" t="s">
        <v>141</v>
      </c>
      <c r="H12" s="83" t="s">
        <v>141</v>
      </c>
      <c r="I12" s="83" t="s">
        <v>141</v>
      </c>
      <c r="J12" s="83" t="s">
        <v>141</v>
      </c>
      <c r="K12" s="83" t="s">
        <v>141</v>
      </c>
      <c r="L12" s="83" t="s">
        <v>141</v>
      </c>
      <c r="M12" s="83" t="s">
        <v>141</v>
      </c>
      <c r="N12" s="83" t="s">
        <v>141</v>
      </c>
      <c r="O12" s="83" t="s">
        <v>141</v>
      </c>
      <c r="P12" s="83" t="s">
        <v>141</v>
      </c>
      <c r="Q12" s="83" t="s">
        <v>141</v>
      </c>
      <c r="R12" s="83" t="s">
        <v>141</v>
      </c>
      <c r="S12" s="83" t="s">
        <v>141</v>
      </c>
      <c r="T12" s="84" t="s">
        <v>141</v>
      </c>
      <c r="U12" s="83" t="s">
        <v>141</v>
      </c>
      <c r="V12" s="83" t="s">
        <v>141</v>
      </c>
      <c r="W12" s="83" t="s">
        <v>141</v>
      </c>
      <c r="X12" s="83" t="s">
        <v>141</v>
      </c>
      <c r="Y12" s="83" t="s">
        <v>141</v>
      </c>
      <c r="Z12" s="83" t="s">
        <v>141</v>
      </c>
      <c r="AA12" s="84" t="s">
        <v>141</v>
      </c>
      <c r="AB12" s="84" t="s">
        <v>141</v>
      </c>
    </row>
    <row r="13" spans="1:28" x14ac:dyDescent="0.2">
      <c r="A13" s="15" t="s">
        <v>51</v>
      </c>
      <c r="B13" s="16">
        <f>IF(MONTH(EFFDATE)=12,YEAR(EFFDATE)-9,YEAR(EFFDATE)-10)</f>
        <v>2007</v>
      </c>
      <c r="C13" s="100">
        <f>HLOOKUP("British Pound",'[2]Historical Yearly Input'!$2:$14,MATCH($B13,'[2]Historical Yearly Input'!$B$2:$B$14,0),FALSE)</f>
        <v>2.0016499999999997</v>
      </c>
      <c r="D13" s="39">
        <f>HLOOKUP("Euro",'[2]Historical Yearly Input'!$2:$14,MATCH($B13,'[2]Historical Yearly Input'!$B$2:$B$14,0),FALSE)</f>
        <v>1.3709</v>
      </c>
      <c r="E13" s="17">
        <f>HLOOKUP("WTI",'[2]Historical Yearly Input'!$2:$14,MATCH($B13,'[2]Historical Yearly Input'!$B$2:$B$14,0),FALSE)</f>
        <v>72.316666666666663</v>
      </c>
      <c r="F13" s="17">
        <f>HLOOKUP("Alaskan North Slope",'[2]Historical Yearly Input'!$2:$14,MATCH($B13,'[2]Historical Yearly Input'!$B$2:$B$14,0),FALSE)</f>
        <v>63.799166666666657</v>
      </c>
      <c r="G13" s="17">
        <f>HLOOKUP("California Kern River",'[2]Historical Yearly Input'!$2:$14,MATCH($B13,'[2]Historical Yearly Input'!$B$2:$B$14,0),FALSE)</f>
        <v>57.283333333333331</v>
      </c>
      <c r="H13" s="17">
        <f>HLOOKUP("Louisiana Heavy Sweet",'[2]Historical Yearly Input'!$2:$14,MATCH($B13,'[2]Historical Yearly Input'!$B$2:$B$14,0),FALSE)</f>
        <v>70.198333333333323</v>
      </c>
      <c r="I13" s="17">
        <f>HLOOKUP("Louisiana Light Sweet",'[2]Historical Yearly Input'!$2:$14,MATCH($B13,'[2]Historical Yearly Input'!$B$2:$B$14,0),FALSE)</f>
        <v>72.339999999999989</v>
      </c>
      <c r="J13" s="17">
        <f>HLOOKUP("MARS Blend",'[2]Historical Yearly Input'!$2:$14,MATCH($B13,'[2]Historical Yearly Input'!$B$2:$B$14,0),FALSE)</f>
        <v>63.802500000000002</v>
      </c>
      <c r="K13" s="17">
        <f>HLOOKUP("Wyoming Sweet",'[2]Historical Yearly Input'!$2:$14,MATCH($B13,'[2]Historical Yearly Input'!$B$2:$B$14,0),FALSE)</f>
        <v>64.355000000000004</v>
      </c>
      <c r="L13" s="17">
        <f>HLOOKUP("Brent Spot",'[2]Historical Yearly Input'!$2:$14,MATCH($B13,'[2]Historical Yearly Input'!$B$2:$B$14,0),FALSE)</f>
        <v>72.464999999999989</v>
      </c>
      <c r="M13" s="17" t="s">
        <v>61</v>
      </c>
      <c r="N13" s="17">
        <f>HLOOKUP("Average OPEC Basket",'[2]Historical Yearly Input'!$2:$14,MATCH($B13,'[2]Historical Yearly Input'!$B$2:$B$14,0),FALSE)</f>
        <v>69.071408102766796</v>
      </c>
      <c r="O13" s="17" t="s">
        <v>61</v>
      </c>
      <c r="P13" s="17">
        <f>HLOOKUP("Nigerian Bonny Light",'[2]Historical Yearly Input'!$2:$14,MATCH($B13,'[2]Historical Yearly Input'!$B$2:$B$14,0),FALSE)</f>
        <v>75.144999999999996</v>
      </c>
      <c r="Q13" s="17">
        <f>HLOOKUP("Arabia UAE Dubai Feteh",'[2]Historical Yearly Input'!$2:$14,MATCH($B13,'[2]Historical Yearly Input'!$B$2:$B$14,0),FALSE)</f>
        <v>68.396666666666661</v>
      </c>
      <c r="R13" s="33">
        <f>HLOOKUP("Mexico Maya",'[2]Historical Yearly Input'!$2:$14,MATCH($B13,'[2]Historical Yearly Input'!$B$2:$B$14,0),FALSE)</f>
        <v>59.852499999999999</v>
      </c>
      <c r="S13" s="101">
        <f>HLOOKUP("Russia Urals",'[2]Historical Yearly Input'!$2:$14,MATCH($B13,'[2]Historical Yearly Input'!$B$2:$B$14,0),FALSE)</f>
        <v>69.542500000000004</v>
      </c>
      <c r="T13" s="102">
        <f>HLOOKUP("Indonesia Minas",'[2]Historical Yearly Input'!$2:$14,MATCH($B13,'[2]Historical Yearly Input'!$B$2:$B$14,0),FALSE)</f>
        <v>73.549166666666665</v>
      </c>
      <c r="U13" s="101">
        <f>HLOOKUP("NYMEX Henry Hub",'[2]Historical Yearly Input'!$2:$14,MATCH($B13,'[2]Historical Yearly Input'!$B$2:$B$14,0),FALSE)</f>
        <v>6.9766666666666657</v>
      </c>
      <c r="V13" s="101">
        <f>HLOOKUP("Permian Waha",'[2]Historical Yearly Input'!$2:$14,MATCH($B13,'[2]Historical Yearly Input'!$B$2:$B$14,0),FALSE)</f>
        <v>6.2408333333333319</v>
      </c>
      <c r="W13" s="101">
        <f>HLOOKUP("San Juan Ignacio",'[2]Historical Yearly Input'!$2:$14,MATCH($B13,'[2]Historical Yearly Input'!$B$2:$B$14,0),FALSE)</f>
        <v>6.1275000000000013</v>
      </c>
      <c r="X13" s="101">
        <f>HLOOKUP("Gulf Coast (Onshore)",'[2]Historical Yearly Input'!$2:$14,MATCH($B13,'[2]Historical Yearly Input'!$B$2:$B$14,0),FALSE)</f>
        <v>6.5641666666666678</v>
      </c>
      <c r="Y13" s="101">
        <f>HLOOKUP("Louisiana East Texas",'[2]Historical Yearly Input'!$2:$14,MATCH($B13,'[2]Historical Yearly Input'!$B$2:$B$14,0),FALSE)</f>
        <v>6.9908333333333346</v>
      </c>
      <c r="Z13" s="101">
        <f>HLOOKUP("Rocky Mountain Opal",'[2]Historical Yearly Input'!$2:$14,MATCH($B13,'[2]Historical Yearly Input'!$B$2:$B$14,0),FALSE)</f>
        <v>4.0049999999999999</v>
      </c>
      <c r="AA13" s="102">
        <f>HLOOKUP("UK National Balancing Point",'[2]Historical Yearly Input'!$2:$14,MATCH($B13,'[2]Historical Yearly Input'!$B$2:$B$14,0),FALSE)</f>
        <v>2.932821185992831</v>
      </c>
      <c r="AB13" s="103">
        <f>HLOOKUP("Ethanol CBOT",'[2]Historical Yearly Input'!$2:$14,MATCH($B13,'[2]Historical Yearly Input'!$B$2:$B$14,0),FALSE)</f>
        <v>0</v>
      </c>
    </row>
    <row r="14" spans="1:28" x14ac:dyDescent="0.2">
      <c r="A14" s="15" t="s">
        <v>52</v>
      </c>
      <c r="B14" s="16">
        <f>B13+1</f>
        <v>2008</v>
      </c>
      <c r="C14" s="100">
        <f>HLOOKUP("British Pound",'[2]Historical Yearly Input'!$2:$14,MATCH($B14,'[2]Historical Yearly Input'!$B$2:$B$14,0),FALSE)</f>
        <v>1.8521833333333333</v>
      </c>
      <c r="D14" s="39">
        <f>HLOOKUP("Euro",'[2]Historical Yearly Input'!$2:$14,MATCH($B14,'[2]Historical Yearly Input'!$B$2:$B$14,0),FALSE)</f>
        <v>1.4703333333333335</v>
      </c>
      <c r="E14" s="17">
        <f>HLOOKUP("WTI",'[2]Historical Yearly Input'!$2:$14,MATCH($B14,'[2]Historical Yearly Input'!$B$2:$B$14,0),FALSE)</f>
        <v>99.571666666666644</v>
      </c>
      <c r="F14" s="17">
        <f>HLOOKUP("Alaskan North Slope",'[2]Historical Yearly Input'!$2:$14,MATCH($B14,'[2]Historical Yearly Input'!$B$2:$B$14,0),FALSE)</f>
        <v>91.234999999999999</v>
      </c>
      <c r="G14" s="17">
        <f>HLOOKUP("California Kern River",'[2]Historical Yearly Input'!$2:$14,MATCH($B14,'[2]Historical Yearly Input'!$B$2:$B$14,0),FALSE)</f>
        <v>87.201666666666668</v>
      </c>
      <c r="H14" s="17">
        <f>HLOOKUP("Louisiana Heavy Sweet",'[2]Historical Yearly Input'!$2:$14,MATCH($B14,'[2]Historical Yearly Input'!$B$2:$B$14,0),FALSE)</f>
        <v>103.61666666666666</v>
      </c>
      <c r="I14" s="17">
        <f>HLOOKUP("Louisiana Light Sweet",'[2]Historical Yearly Input'!$2:$14,MATCH($B14,'[2]Historical Yearly Input'!$B$2:$B$14,0),FALSE)</f>
        <v>100.81833333333333</v>
      </c>
      <c r="J14" s="17">
        <f>HLOOKUP("MARS Blend",'[2]Historical Yearly Input'!$2:$14,MATCH($B14,'[2]Historical Yearly Input'!$B$2:$B$14,0),FALSE)</f>
        <v>94.606666666666669</v>
      </c>
      <c r="K14" s="17">
        <f>HLOOKUP("Wyoming Sweet",'[2]Historical Yearly Input'!$2:$14,MATCH($B14,'[2]Historical Yearly Input'!$B$2:$B$14,0),FALSE)</f>
        <v>88.384166666666658</v>
      </c>
      <c r="L14" s="17">
        <f>HLOOKUP("Brent Spot",'[2]Historical Yearly Input'!$2:$14,MATCH($B14,'[2]Historical Yearly Input'!$B$2:$B$14,0),FALSE)</f>
        <v>96.847500000000011</v>
      </c>
      <c r="M14" s="17" t="s">
        <v>61</v>
      </c>
      <c r="N14" s="17">
        <f>HLOOKUP("Average OPEC Basket",'[2]Historical Yearly Input'!$2:$14,MATCH($B14,'[2]Historical Yearly Input'!$B$2:$B$14,0),FALSE)</f>
        <v>94.052483538804196</v>
      </c>
      <c r="O14" s="17" t="s">
        <v>61</v>
      </c>
      <c r="P14" s="17">
        <f>HLOOKUP("Nigerian Bonny Light",'[2]Historical Yearly Input'!$2:$14,MATCH($B14,'[2]Historical Yearly Input'!$B$2:$B$14,0),FALSE)</f>
        <v>100.23749999999997</v>
      </c>
      <c r="Q14" s="17">
        <f>HLOOKUP("Arabia UAE Dubai Feteh",'[2]Historical Yearly Input'!$2:$14,MATCH($B14,'[2]Historical Yearly Input'!$B$2:$B$14,0),FALSE)</f>
        <v>93.475833333333313</v>
      </c>
      <c r="R14" s="17">
        <f>HLOOKUP("Mexico Maya",'[2]Historical Yearly Input'!$2:$14,MATCH($B14,'[2]Historical Yearly Input'!$B$2:$B$14,0),FALSE)</f>
        <v>83.834166666666675</v>
      </c>
      <c r="S14" s="101">
        <f>HLOOKUP("Russia Urals",'[2]Historical Yearly Input'!$2:$14,MATCH($B14,'[2]Historical Yearly Input'!$B$2:$B$14,0),FALSE)</f>
        <v>94.505833333333328</v>
      </c>
      <c r="T14" s="102">
        <f>HLOOKUP("Indonesia Minas",'[2]Historical Yearly Input'!$2:$14,MATCH($B14,'[2]Historical Yearly Input'!$B$2:$B$14,0),FALSE)</f>
        <v>100.25416666666665</v>
      </c>
      <c r="U14" s="101">
        <f>HLOOKUP("NYMEX Henry Hub",'[2]Historical Yearly Input'!$2:$14,MATCH($B14,'[2]Historical Yearly Input'!$B$2:$B$14,0),FALSE)</f>
        <v>8.8616666666666664</v>
      </c>
      <c r="V14" s="101">
        <f>HLOOKUP("Permian Waha",'[2]Historical Yearly Input'!$2:$14,MATCH($B14,'[2]Historical Yearly Input'!$B$2:$B$14,0),FALSE)</f>
        <v>7.4424999999999999</v>
      </c>
      <c r="W14" s="101">
        <f>HLOOKUP("San Juan Ignacio",'[2]Historical Yearly Input'!$2:$14,MATCH($B14,'[2]Historical Yearly Input'!$B$2:$B$14,0),FALSE)</f>
        <v>7.1958333333333337</v>
      </c>
      <c r="X14" s="101">
        <f>HLOOKUP("Gulf Coast (Onshore)",'[2]Historical Yearly Input'!$2:$14,MATCH($B14,'[2]Historical Yearly Input'!$B$2:$B$14,0),FALSE)</f>
        <v>8.4841666666666669</v>
      </c>
      <c r="Y14" s="101">
        <f>HLOOKUP("Louisiana East Texas",'[2]Historical Yearly Input'!$2:$14,MATCH($B14,'[2]Historical Yearly Input'!$B$2:$B$14,0),FALSE)</f>
        <v>8.8899999999999988</v>
      </c>
      <c r="Z14" s="101">
        <f>HLOOKUP("Rocky Mountain Opal",'[2]Historical Yearly Input'!$2:$14,MATCH($B14,'[2]Historical Yearly Input'!$B$2:$B$14,0),FALSE)</f>
        <v>6.5183333333333344</v>
      </c>
      <c r="AA14" s="102">
        <f>HLOOKUP("UK National Balancing Point",'[2]Historical Yearly Input'!$2:$14,MATCH($B14,'[2]Historical Yearly Input'!$B$2:$B$14,0),FALSE)</f>
        <v>6.139072441836916</v>
      </c>
      <c r="AB14" s="103">
        <f>HLOOKUP("Ethanol CBOT",'[2]Historical Yearly Input'!$2:$14,MATCH($B14,'[2]Historical Yearly Input'!$B$2:$B$14,0),FALSE)</f>
        <v>1.8402500377742224</v>
      </c>
    </row>
    <row r="15" spans="1:28" x14ac:dyDescent="0.2">
      <c r="A15" s="15" t="s">
        <v>53</v>
      </c>
      <c r="B15" s="16">
        <f t="shared" ref="B15:B22" si="0">B14+1</f>
        <v>2009</v>
      </c>
      <c r="C15" s="100">
        <f>HLOOKUP("British Pound",'[2]Historical Yearly Input'!$2:$14,MATCH($B15,'[2]Historical Yearly Input'!$B$2:$B$14,0),FALSE)</f>
        <v>1.5651916666666665</v>
      </c>
      <c r="D15" s="39">
        <f>HLOOKUP("Euro",'[2]Historical Yearly Input'!$2:$14,MATCH($B15,'[2]Historical Yearly Input'!$B$2:$B$14,0),FALSE)</f>
        <v>1.393258333333333</v>
      </c>
      <c r="E15" s="17">
        <f>HLOOKUP("WTI",'[2]Historical Yearly Input'!$2:$14,MATCH($B15,'[2]Historical Yearly Input'!$B$2:$B$14,0),FALSE)</f>
        <v>61.654166666666676</v>
      </c>
      <c r="F15" s="17">
        <f>HLOOKUP("Alaskan North Slope",'[2]Historical Yearly Input'!$2:$14,MATCH($B15,'[2]Historical Yearly Input'!$B$2:$B$14,0),FALSE)</f>
        <v>54.836666666666666</v>
      </c>
      <c r="G15" s="17">
        <f>HLOOKUP("California Kern River",'[2]Historical Yearly Input'!$2:$14,MATCH($B15,'[2]Historical Yearly Input'!$B$2:$B$14,0),FALSE)</f>
        <v>48.662500000000001</v>
      </c>
      <c r="H15" s="17">
        <f>HLOOKUP("Louisiana Heavy Sweet",'[2]Historical Yearly Input'!$2:$14,MATCH($B15,'[2]Historical Yearly Input'!$B$2:$B$14,0),FALSE)</f>
        <v>58.783333333333339</v>
      </c>
      <c r="I15" s="17">
        <f>HLOOKUP("Louisiana Light Sweet",'[2]Historical Yearly Input'!$2:$14,MATCH($B15,'[2]Historical Yearly Input'!$B$2:$B$14,0),FALSE)</f>
        <v>60.287500000000001</v>
      </c>
      <c r="J15" s="17">
        <f>HLOOKUP("MARS Blend",'[2]Historical Yearly Input'!$2:$14,MATCH($B15,'[2]Historical Yearly Input'!$B$2:$B$14,0),FALSE)</f>
        <v>56.508333333333326</v>
      </c>
      <c r="K15" s="17">
        <f>HLOOKUP("Wyoming Sweet",'[2]Historical Yearly Input'!$2:$14,MATCH($B15,'[2]Historical Yearly Input'!$B$2:$B$14,0),FALSE)</f>
        <v>51.727499999999999</v>
      </c>
      <c r="L15" s="17">
        <f>HLOOKUP("Brent Spot",'[2]Historical Yearly Input'!$2:$14,MATCH($B15,'[2]Historical Yearly Input'!$B$2:$B$14,0),FALSE)</f>
        <v>61.49</v>
      </c>
      <c r="M15" s="17" t="s">
        <v>61</v>
      </c>
      <c r="N15" s="17">
        <f>HLOOKUP("Average OPEC Basket",'[2]Historical Yearly Input'!$2:$14,MATCH($B15,'[2]Historical Yearly Input'!$B$2:$B$14,0),FALSE)</f>
        <v>60.862260916619611</v>
      </c>
      <c r="O15" s="17" t="s">
        <v>61</v>
      </c>
      <c r="P15" s="17">
        <f>HLOOKUP("Nigerian Bonny Light",'[2]Historical Yearly Input'!$2:$14,MATCH($B15,'[2]Historical Yearly Input'!$B$2:$B$14,0),FALSE)</f>
        <v>53.008333333333333</v>
      </c>
      <c r="Q15" s="17">
        <f>HLOOKUP("Arabia UAE Dubai Feteh",'[2]Historical Yearly Input'!$2:$14,MATCH($B15,'[2]Historical Yearly Input'!$B$2:$B$14,0),FALSE)</f>
        <v>61.649166666666652</v>
      </c>
      <c r="R15" s="17">
        <f>HLOOKUP("Mexico Maya",'[2]Historical Yearly Input'!$2:$14,MATCH($B15,'[2]Historical Yearly Input'!$B$2:$B$14,0),FALSE)</f>
        <v>56.405000000000001</v>
      </c>
      <c r="S15" s="101">
        <f>HLOOKUP("Russia Urals",'[2]Historical Yearly Input'!$2:$14,MATCH($B15,'[2]Historical Yearly Input'!$B$2:$B$14,0),FALSE)</f>
        <v>60.702500000000008</v>
      </c>
      <c r="T15" s="102">
        <f>HLOOKUP("Indonesia Minas",'[2]Historical Yearly Input'!$2:$14,MATCH($B15,'[2]Historical Yearly Input'!$B$2:$B$14,0),FALSE)</f>
        <v>39.225000000000001</v>
      </c>
      <c r="U15" s="101">
        <f>HLOOKUP("NYMEX Henry Hub",'[2]Historical Yearly Input'!$2:$14,MATCH($B15,'[2]Historical Yearly Input'!$B$2:$B$14,0),FALSE)</f>
        <v>3.9483333333333337</v>
      </c>
      <c r="V15" s="101">
        <f>HLOOKUP("Permian Waha",'[2]Historical Yearly Input'!$2:$14,MATCH($B15,'[2]Historical Yearly Input'!$B$2:$B$14,0),FALSE)</f>
        <v>3.4308333333333336</v>
      </c>
      <c r="W15" s="101">
        <f>HLOOKUP("San Juan Ignacio",'[2]Historical Yearly Input'!$2:$14,MATCH($B15,'[2]Historical Yearly Input'!$B$2:$B$14,0),FALSE)</f>
        <v>3.34</v>
      </c>
      <c r="X15" s="101">
        <f>HLOOKUP("Gulf Coast (Onshore)",'[2]Historical Yearly Input'!$2:$14,MATCH($B15,'[2]Historical Yearly Input'!$B$2:$B$14,0),FALSE)</f>
        <v>3.754999999999999</v>
      </c>
      <c r="Y15" s="101">
        <f>HLOOKUP("Louisiana East Texas",'[2]Historical Yearly Input'!$2:$14,MATCH($B15,'[2]Historical Yearly Input'!$B$2:$B$14,0),FALSE)</f>
        <v>3.9550000000000001</v>
      </c>
      <c r="Z15" s="101">
        <f>HLOOKUP("Rocky Mountain Opal",'[2]Historical Yearly Input'!$2:$14,MATCH($B15,'[2]Historical Yearly Input'!$B$2:$B$14,0),FALSE)</f>
        <v>3.1441666666666666</v>
      </c>
      <c r="AA15" s="102">
        <f>HLOOKUP("UK National Balancing Point",'[2]Historical Yearly Input'!$2:$14,MATCH($B15,'[2]Historical Yearly Input'!$B$2:$B$14,0),FALSE)</f>
        <v>4.5308199294349176</v>
      </c>
      <c r="AB15" s="103">
        <f>HLOOKUP("Ethanol CBOT",'[2]Historical Yearly Input'!$2:$14,MATCH($B15,'[2]Historical Yearly Input'!$B$2:$B$14,0),FALSE)</f>
        <v>1.7242805390984877</v>
      </c>
    </row>
    <row r="16" spans="1:28" x14ac:dyDescent="0.2">
      <c r="A16" s="15" t="s">
        <v>54</v>
      </c>
      <c r="B16" s="16">
        <f t="shared" si="0"/>
        <v>2010</v>
      </c>
      <c r="C16" s="100">
        <f>HLOOKUP("British Pound",'[2]Historical Yearly Input'!$2:$14,MATCH($B16,'[2]Historical Yearly Input'!$B$2:$B$14,0),FALSE)</f>
        <v>1.5460916666666666</v>
      </c>
      <c r="D16" s="39">
        <f>HLOOKUP("Euro",'[2]Historical Yearly Input'!$2:$14,MATCH($B16,'[2]Historical Yearly Input'!$B$2:$B$14,0),FALSE)</f>
        <v>1.3275999999999999</v>
      </c>
      <c r="E16" s="17">
        <f>HLOOKUP("WTI",'[2]Historical Yearly Input'!$2:$14,MATCH($B16,'[2]Historical Yearly Input'!$B$2:$B$14,0),FALSE)</f>
        <v>79.39500000000001</v>
      </c>
      <c r="F16" s="17">
        <f>HLOOKUP("Alaskan North Slope",'[2]Historical Yearly Input'!$2:$14,MATCH($B16,'[2]Historical Yearly Input'!$B$2:$B$14,0),FALSE)</f>
        <v>72.168333333333337</v>
      </c>
      <c r="G16" s="17">
        <f>HLOOKUP("California Kern River",'[2]Historical Yearly Input'!$2:$14,MATCH($B16,'[2]Historical Yearly Input'!$B$2:$B$14,0),FALSE)</f>
        <v>72.832499999999996</v>
      </c>
      <c r="H16" s="17">
        <f>HLOOKUP("Louisiana Heavy Sweet",'[2]Historical Yearly Input'!$2:$14,MATCH($B16,'[2]Historical Yearly Input'!$B$2:$B$14,0),FALSE)</f>
        <v>78.161666666666662</v>
      </c>
      <c r="I16" s="17">
        <f>HLOOKUP("Louisiana Light Sweet",'[2]Historical Yearly Input'!$2:$14,MATCH($B16,'[2]Historical Yearly Input'!$B$2:$B$14,0),FALSE)</f>
        <v>79.321666666666673</v>
      </c>
      <c r="J16" s="17">
        <f>HLOOKUP("MARS Blend",'[2]Historical Yearly Input'!$2:$14,MATCH($B16,'[2]Historical Yearly Input'!$B$2:$B$14,0),FALSE)</f>
        <v>75.595833333333346</v>
      </c>
      <c r="K16" s="17">
        <f>HLOOKUP("Wyoming Sweet",'[2]Historical Yearly Input'!$2:$14,MATCH($B16,'[2]Historical Yearly Input'!$B$2:$B$14,0),FALSE)</f>
        <v>70.441666666666663</v>
      </c>
      <c r="L16" s="17">
        <f>HLOOKUP("Brent Spot",'[2]Historical Yearly Input'!$2:$14,MATCH($B16,'[2]Historical Yearly Input'!$B$2:$B$14,0),FALSE)</f>
        <v>79.678333333333327</v>
      </c>
      <c r="M16" s="17">
        <f>HLOOKUP("Gulf Coast Argus Sour Crude Index",'[2]Historical Yearly Input'!$2:$14,MATCH($B16,'[2]Historical Yearly Input'!$B$2:$B$14,0),FALSE)</f>
        <v>75.595833333333346</v>
      </c>
      <c r="N16" s="17">
        <f>HLOOKUP("Average OPEC Basket",'[2]Historical Yearly Input'!$2:$14,MATCH($B16,'[2]Historical Yearly Input'!$B$2:$B$14,0),FALSE)</f>
        <v>77.376500564652744</v>
      </c>
      <c r="O16" s="17">
        <f>HLOOKUP("Venezuelan Merey Crude",'[2]Historical Yearly Input'!$2:$14,MATCH($B16,'[2]Historical Yearly Input'!$B$2:$B$14,0),FALSE)</f>
        <v>69.678333333333342</v>
      </c>
      <c r="P16" s="17">
        <f>HLOOKUP("Nigerian Bonny Light",'[2]Historical Yearly Input'!$2:$14,MATCH($B16,'[2]Historical Yearly Input'!$B$2:$B$14,0),FALSE)</f>
        <v>70.703333333333333</v>
      </c>
      <c r="Q16" s="17">
        <f>HLOOKUP("Arabia UAE Dubai Feteh",'[2]Historical Yearly Input'!$2:$14,MATCH($B16,'[2]Historical Yearly Input'!$B$2:$B$14,0),FALSE)</f>
        <v>78.040000000000006</v>
      </c>
      <c r="R16" s="17">
        <f>HLOOKUP("Mexico Maya",'[2]Historical Yearly Input'!$2:$14,MATCH($B16,'[2]Historical Yearly Input'!$B$2:$B$14,0),FALSE)</f>
        <v>70.06750000000001</v>
      </c>
      <c r="S16" s="101">
        <f>HLOOKUP("Russia Urals",'[2]Historical Yearly Input'!$2:$14,MATCH($B16,'[2]Historical Yearly Input'!$B$2:$B$14,0),FALSE)</f>
        <v>78.012500000000003</v>
      </c>
      <c r="T16" s="102">
        <f>HLOOKUP("Indonesia Minas",'[2]Historical Yearly Input'!$2:$14,MATCH($B16,'[2]Historical Yearly Input'!$B$2:$B$14,0),FALSE)</f>
        <v>0</v>
      </c>
      <c r="U16" s="101">
        <f>HLOOKUP("NYMEX Henry Hub",'[2]Historical Yearly Input'!$2:$14,MATCH($B16,'[2]Historical Yearly Input'!$B$2:$B$14,0),FALSE)</f>
        <v>4.3866666666666676</v>
      </c>
      <c r="V16" s="101">
        <f>HLOOKUP("Permian Waha",'[2]Historical Yearly Input'!$2:$14,MATCH($B16,'[2]Historical Yearly Input'!$B$2:$B$14,0),FALSE)</f>
        <v>4.1633333333333331</v>
      </c>
      <c r="W16" s="101">
        <f>HLOOKUP("San Juan Ignacio",'[2]Historical Yearly Input'!$2:$14,MATCH($B16,'[2]Historical Yearly Input'!$B$2:$B$14,0),FALSE)</f>
        <v>4.0908333333333333</v>
      </c>
      <c r="X16" s="101">
        <f>HLOOKUP("Gulf Coast (Onshore)",'[2]Historical Yearly Input'!$2:$14,MATCH($B16,'[2]Historical Yearly Input'!$B$2:$B$14,0),FALSE)</f>
        <v>4.2883333333333331</v>
      </c>
      <c r="Y16" s="101">
        <f>HLOOKUP("Louisiana East Texas",'[2]Historical Yearly Input'!$2:$14,MATCH($B16,'[2]Historical Yearly Input'!$B$2:$B$14,0),FALSE)</f>
        <v>4.3774999999999986</v>
      </c>
      <c r="Z16" s="101">
        <f>HLOOKUP("Rocky Mountain Opal",'[2]Historical Yearly Input'!$2:$14,MATCH($B16,'[2]Historical Yearly Input'!$B$2:$B$14,0),FALSE)</f>
        <v>3.9433333333333338</v>
      </c>
      <c r="AA16" s="102">
        <f>HLOOKUP("UK National Balancing Point",'[2]Historical Yearly Input'!$2:$14,MATCH($B16,'[2]Historical Yearly Input'!$B$2:$B$14,0),FALSE)</f>
        <v>6.4808590064272869</v>
      </c>
      <c r="AB16" s="103">
        <f>HLOOKUP("Ethanol CBOT",'[2]Historical Yearly Input'!$2:$14,MATCH($B16,'[2]Historical Yearly Input'!$B$2:$B$14,0),FALSE)</f>
        <v>1.798416666666667</v>
      </c>
    </row>
    <row r="17" spans="1:28" x14ac:dyDescent="0.2">
      <c r="A17" s="15" t="s">
        <v>55</v>
      </c>
      <c r="B17" s="16">
        <f t="shared" si="0"/>
        <v>2011</v>
      </c>
      <c r="C17" s="100">
        <f>HLOOKUP("British Pound",'[2]Historical Yearly Input'!$2:$14,MATCH($B17,'[2]Historical Yearly Input'!$B$2:$B$14,0),FALSE)</f>
        <v>1.6036750000000002</v>
      </c>
      <c r="D17" s="39">
        <f>HLOOKUP("Euro",'[2]Historical Yearly Input'!$2:$14,MATCH($B17,'[2]Historical Yearly Input'!$B$2:$B$14,0),FALSE)</f>
        <v>1.3921250000000001</v>
      </c>
      <c r="E17" s="17">
        <f>HLOOKUP("WTI",'[2]Historical Yearly Input'!$2:$14,MATCH($B17,'[2]Historical Yearly Input'!$B$2:$B$14,0),FALSE)</f>
        <v>94.884166666666658</v>
      </c>
      <c r="F17" s="17">
        <f>HLOOKUP("Alaskan North Slope",'[2]Historical Yearly Input'!$2:$14,MATCH($B17,'[2]Historical Yearly Input'!$B$2:$B$14,0),FALSE)</f>
        <v>98.472500000000011</v>
      </c>
      <c r="G17" s="17">
        <f>HLOOKUP("California Kern River",'[2]Historical Yearly Input'!$2:$14,MATCH($B17,'[2]Historical Yearly Input'!$B$2:$B$14,0),FALSE)</f>
        <v>103.11166666666664</v>
      </c>
      <c r="H17" s="17">
        <f>HLOOKUP("Louisiana Heavy Sweet",'[2]Historical Yearly Input'!$2:$14,MATCH($B17,'[2]Historical Yearly Input'!$B$2:$B$14,0),FALSE)</f>
        <v>107.12416666666668</v>
      </c>
      <c r="I17" s="17">
        <f>HLOOKUP("Louisiana Light Sweet",'[2]Historical Yearly Input'!$2:$14,MATCH($B17,'[2]Historical Yearly Input'!$B$2:$B$14,0),FALSE)</f>
        <v>108.02999999999999</v>
      </c>
      <c r="J17" s="17">
        <f>HLOOKUP("MARS Blend",'[2]Historical Yearly Input'!$2:$14,MATCH($B17,'[2]Historical Yearly Input'!$B$2:$B$14,0),FALSE)</f>
        <v>105.37416666666665</v>
      </c>
      <c r="K17" s="17">
        <f>HLOOKUP("Wyoming Sweet",'[2]Historical Yearly Input'!$2:$14,MATCH($B17,'[2]Historical Yearly Input'!$B$2:$B$14,0),FALSE)</f>
        <v>87.412500000000009</v>
      </c>
      <c r="L17" s="17">
        <f>HLOOKUP("Brent Spot",'[2]Historical Yearly Input'!$2:$14,MATCH($B17,'[2]Historical Yearly Input'!$B$2:$B$14,0),FALSE)</f>
        <v>111.26416666666667</v>
      </c>
      <c r="M17" s="17">
        <f>HLOOKUP("Gulf Coast Argus Sour Crude Index",'[2]Historical Yearly Input'!$2:$14,MATCH($B17,'[2]Historical Yearly Input'!$B$2:$B$14,0),FALSE)</f>
        <v>105.37416666666665</v>
      </c>
      <c r="N17" s="17">
        <f>HLOOKUP("Average OPEC Basket",'[2]Historical Yearly Input'!$2:$14,MATCH($B17,'[2]Historical Yearly Input'!$B$2:$B$14,0),FALSE)</f>
        <v>107.44762346288978</v>
      </c>
      <c r="O17" s="17">
        <f>HLOOKUP("Venezuelan Merey Crude",'[2]Historical Yearly Input'!$2:$14,MATCH($B17,'[2]Historical Yearly Input'!$B$2:$B$14,0),FALSE)</f>
        <v>97.878333333333345</v>
      </c>
      <c r="P17" s="17">
        <f>HLOOKUP("Nigerian Bonny Light",'[2]Historical Yearly Input'!$2:$14,MATCH($B17,'[2]Historical Yearly Input'!$B$2:$B$14,0),FALSE)</f>
        <v>88.27833333333335</v>
      </c>
      <c r="Q17" s="17">
        <f>HLOOKUP("Arabia UAE Dubai Feteh",'[2]Historical Yearly Input'!$2:$14,MATCH($B17,'[2]Historical Yearly Input'!$B$2:$B$14,0),FALSE)</f>
        <v>106.18916666666668</v>
      </c>
      <c r="R17" s="17">
        <f>HLOOKUP("Mexico Maya",'[2]Historical Yearly Input'!$2:$14,MATCH($B17,'[2]Historical Yearly Input'!$B$2:$B$14,0),FALSE)</f>
        <v>98.948333333333338</v>
      </c>
      <c r="S17" s="101">
        <f>HLOOKUP("Russia Urals",'[2]Historical Yearly Input'!$2:$14,MATCH($B17,'[2]Historical Yearly Input'!$B$2:$B$14,0),FALSE)</f>
        <v>109.19333333333331</v>
      </c>
      <c r="T17" s="102">
        <f>HLOOKUP("Indonesia Minas",'[2]Historical Yearly Input'!$2:$14,MATCH($B17,'[2]Historical Yearly Input'!$B$2:$B$14,0),FALSE)</f>
        <v>0</v>
      </c>
      <c r="U17" s="101">
        <f>HLOOKUP("NYMEX Henry Hub",'[2]Historical Yearly Input'!$2:$14,MATCH($B17,'[2]Historical Yearly Input'!$B$2:$B$14,0),FALSE)</f>
        <v>4</v>
      </c>
      <c r="V17" s="101">
        <f>HLOOKUP("Permian Waha",'[2]Historical Yearly Input'!$2:$14,MATCH($B17,'[2]Historical Yearly Input'!$B$2:$B$14,0),FALSE)</f>
        <v>3.8816666666666664</v>
      </c>
      <c r="W17" s="101">
        <f>HLOOKUP("San Juan Ignacio",'[2]Historical Yearly Input'!$2:$14,MATCH($B17,'[2]Historical Yearly Input'!$B$2:$B$14,0),FALSE)</f>
        <v>3.8216666666666668</v>
      </c>
      <c r="X17" s="101">
        <f>HLOOKUP("Gulf Coast (Onshore)",'[2]Historical Yearly Input'!$2:$14,MATCH($B17,'[2]Historical Yearly Input'!$B$2:$B$14,0),FALSE)</f>
        <v>3.9025000000000012</v>
      </c>
      <c r="Y17" s="101">
        <f>HLOOKUP("Louisiana East Texas",'[2]Historical Yearly Input'!$2:$14,MATCH($B17,'[2]Historical Yearly Input'!$B$2:$B$14,0),FALSE)</f>
        <v>3.9791666666666661</v>
      </c>
      <c r="Z17" s="101">
        <f>HLOOKUP("Rocky Mountain Opal",'[2]Historical Yearly Input'!$2:$14,MATCH($B17,'[2]Historical Yearly Input'!$B$2:$B$14,0),FALSE)</f>
        <v>3.7974999999999999</v>
      </c>
      <c r="AA17" s="102">
        <f>HLOOKUP("UK National Balancing Point",'[2]Historical Yearly Input'!$2:$14,MATCH($B17,'[2]Historical Yearly Input'!$B$2:$B$14,0),FALSE)</f>
        <v>9.0348145351025781</v>
      </c>
      <c r="AB17" s="103">
        <f>HLOOKUP("Ethanol CBOT",'[2]Historical Yearly Input'!$2:$14,MATCH($B17,'[2]Historical Yearly Input'!$B$2:$B$14,0),FALSE)</f>
        <v>2.5115461487160378</v>
      </c>
    </row>
    <row r="18" spans="1:28" x14ac:dyDescent="0.2">
      <c r="A18" s="15" t="s">
        <v>56</v>
      </c>
      <c r="B18" s="16">
        <f t="shared" si="0"/>
        <v>2012</v>
      </c>
      <c r="C18" s="100">
        <f>HLOOKUP("British Pound",'[2]Historical Yearly Input'!$2:$14,MATCH($B18,'[2]Historical Yearly Input'!$B$2:$B$14,0),FALSE)</f>
        <v>1.5855500000000002</v>
      </c>
      <c r="D18" s="39">
        <f>HLOOKUP("Euro",'[2]Historical Yearly Input'!$2:$14,MATCH($B18,'[2]Historical Yearly Input'!$B$2:$B$14,0),FALSE)</f>
        <v>1.2863499999999999</v>
      </c>
      <c r="E18" s="17">
        <f>HLOOKUP("WTI",'[2]Historical Yearly Input'!$2:$14,MATCH($B18,'[2]Historical Yearly Input'!$B$2:$B$14,0),FALSE)</f>
        <v>94.11</v>
      </c>
      <c r="F18" s="17">
        <f>HLOOKUP("Alaskan North Slope",'[2]Historical Yearly Input'!$2:$14,MATCH($B18,'[2]Historical Yearly Input'!$B$2:$B$14,0),FALSE)</f>
        <v>98.345000000000013</v>
      </c>
      <c r="G18" s="17">
        <f>HLOOKUP("California Kern River",'[2]Historical Yearly Input'!$2:$14,MATCH($B18,'[2]Historical Yearly Input'!$B$2:$B$14,0),FALSE)</f>
        <v>103.68916666666668</v>
      </c>
      <c r="H18" s="17">
        <f>HLOOKUP("Louisiana Heavy Sweet",'[2]Historical Yearly Input'!$2:$14,MATCH($B18,'[2]Historical Yearly Input'!$B$2:$B$14,0),FALSE)</f>
        <v>107.17583333333334</v>
      </c>
      <c r="I18" s="17">
        <f>HLOOKUP("Louisiana Light Sweet",'[2]Historical Yearly Input'!$2:$14,MATCH($B18,'[2]Historical Yearly Input'!$B$2:$B$14,0),FALSE)</f>
        <v>107.18916666666668</v>
      </c>
      <c r="J18" s="17">
        <f>HLOOKUP("MARS Blend",'[2]Historical Yearly Input'!$2:$14,MATCH($B18,'[2]Historical Yearly Input'!$B$2:$B$14,0),FALSE)</f>
        <v>104.81833333333334</v>
      </c>
      <c r="K18" s="17">
        <f>HLOOKUP("Wyoming Sweet",'[2]Historical Yearly Input'!$2:$14,MATCH($B18,'[2]Historical Yearly Input'!$B$2:$B$14,0),FALSE)</f>
        <v>85.039166666666659</v>
      </c>
      <c r="L18" s="17">
        <f>HLOOKUP("Brent Spot",'[2]Historical Yearly Input'!$2:$14,MATCH($B18,'[2]Historical Yearly Input'!$B$2:$B$14,0),FALSE)</f>
        <v>111.99083333333333</v>
      </c>
      <c r="M18" s="17">
        <f>HLOOKUP("Gulf Coast Argus Sour Crude Index",'[2]Historical Yearly Input'!$2:$14,MATCH($B18,'[2]Historical Yearly Input'!$B$2:$B$14,0),FALSE)</f>
        <v>104.81833333333334</v>
      </c>
      <c r="N18" s="17">
        <f>HLOOKUP("Average OPEC Basket",'[2]Historical Yearly Input'!$2:$14,MATCH($B18,'[2]Historical Yearly Input'!$B$2:$B$14,0),FALSE)</f>
        <v>109.49987681159421</v>
      </c>
      <c r="O18" s="17">
        <f>HLOOKUP("Venezuelan Merey Crude",'[2]Historical Yearly Input'!$2:$14,MATCH($B18,'[2]Historical Yearly Input'!$B$2:$B$14,0),FALSE)</f>
        <v>100.10500000000002</v>
      </c>
      <c r="P18" s="17">
        <f>HLOOKUP("Nigerian Bonny Light",'[2]Historical Yearly Input'!$2:$14,MATCH($B18,'[2]Historical Yearly Input'!$B$2:$B$14,0),FALSE)</f>
        <v>111.60666666666667</v>
      </c>
      <c r="Q18" s="17">
        <f>HLOOKUP("Arabia UAE Dubai Feteh",'[2]Historical Yearly Input'!$2:$14,MATCH($B18,'[2]Historical Yearly Input'!$B$2:$B$14,0),FALSE)</f>
        <v>109.10833333333333</v>
      </c>
      <c r="R18" s="17">
        <f>HLOOKUP("Mexico Maya",'[2]Historical Yearly Input'!$2:$14,MATCH($B18,'[2]Historical Yearly Input'!$B$2:$B$14,0),FALSE)</f>
        <v>99.739166666666677</v>
      </c>
      <c r="S18" s="101">
        <f>HLOOKUP("Russia Urals",'[2]Historical Yearly Input'!$2:$14,MATCH($B18,'[2]Historical Yearly Input'!$B$2:$B$14,0),FALSE)</f>
        <v>110.49666666666667</v>
      </c>
      <c r="T18" s="102">
        <f>HLOOKUP("Indonesia Minas",'[2]Historical Yearly Input'!$2:$14,MATCH($B18,'[2]Historical Yearly Input'!$B$2:$B$14,0),FALSE)</f>
        <v>55.319166666666668</v>
      </c>
      <c r="U18" s="101">
        <f>HLOOKUP("NYMEX Henry Hub",'[2]Historical Yearly Input'!$2:$14,MATCH($B18,'[2]Historical Yearly Input'!$B$2:$B$14,0),FALSE)</f>
        <v>2.7524999999999999</v>
      </c>
      <c r="V18" s="101">
        <f>HLOOKUP("Permian Waha",'[2]Historical Yearly Input'!$2:$14,MATCH($B18,'[2]Historical Yearly Input'!$B$2:$B$14,0),FALSE)</f>
        <v>2.6424999999999996</v>
      </c>
      <c r="W18" s="101">
        <f>HLOOKUP("San Juan Ignacio",'[2]Historical Yearly Input'!$2:$14,MATCH($B18,'[2]Historical Yearly Input'!$B$2:$B$14,0),FALSE)</f>
        <v>2.6358333333333337</v>
      </c>
      <c r="X18" s="101">
        <f>HLOOKUP("Gulf Coast (Onshore)",'[2]Historical Yearly Input'!$2:$14,MATCH($B18,'[2]Historical Yearly Input'!$B$2:$B$14,0),FALSE)</f>
        <v>2.6833333333333331</v>
      </c>
      <c r="Y18" s="101">
        <f>HLOOKUP("Louisiana East Texas",'[2]Historical Yearly Input'!$2:$14,MATCH($B18,'[2]Historical Yearly Input'!$B$2:$B$14,0),FALSE)</f>
        <v>2.7383333333333333</v>
      </c>
      <c r="Z18" s="101">
        <f>HLOOKUP("Rocky Mountain Opal",'[2]Historical Yearly Input'!$2:$14,MATCH($B18,'[2]Historical Yearly Input'!$B$2:$B$14,0),FALSE)</f>
        <v>2.6733333333333333</v>
      </c>
      <c r="AA18" s="102">
        <f>HLOOKUP("UK National Balancing Point",'[2]Historical Yearly Input'!$2:$14,MATCH($B18,'[2]Historical Yearly Input'!$B$2:$B$14,0),FALSE)</f>
        <v>9.467870106342934</v>
      </c>
      <c r="AB18" s="103">
        <f>HLOOKUP("Ethanol CBOT",'[2]Historical Yearly Input'!$2:$14,MATCH($B18,'[2]Historical Yearly Input'!$B$2:$B$14,0),FALSE)</f>
        <v>2.3114444444444442</v>
      </c>
    </row>
    <row r="19" spans="1:28" x14ac:dyDescent="0.2">
      <c r="A19" s="15" t="s">
        <v>52</v>
      </c>
      <c r="B19" s="16">
        <f t="shared" si="0"/>
        <v>2013</v>
      </c>
      <c r="C19" s="100">
        <f>HLOOKUP("British Pound",'[2]Historical Yearly Input'!$2:$14,MATCH($B19,'[2]Historical Yearly Input'!$B$2:$B$14,0),FALSE)</f>
        <v>1.5647500000000001</v>
      </c>
      <c r="D19" s="39">
        <f>HLOOKUP("Euro",'[2]Historical Yearly Input'!$2:$14,MATCH($B19,'[2]Historical Yearly Input'!$B$2:$B$14,0),FALSE)</f>
        <v>1.3285</v>
      </c>
      <c r="E19" s="17">
        <f>HLOOKUP("WTI",'[2]Historical Yearly Input'!$2:$14,MATCH($B19,'[2]Historical Yearly Input'!$B$2:$B$14,0),FALSE)</f>
        <v>97.90583333333332</v>
      </c>
      <c r="F19" s="17">
        <f>HLOOKUP("Alaskan North Slope",'[2]Historical Yearly Input'!$2:$14,MATCH($B19,'[2]Historical Yearly Input'!$B$2:$B$14,0),FALSE)</f>
        <v>95.853333333333339</v>
      </c>
      <c r="G19" s="17">
        <f>HLOOKUP("California Kern River",'[2]Historical Yearly Input'!$2:$14,MATCH($B19,'[2]Historical Yearly Input'!$B$2:$B$14,0),FALSE)</f>
        <v>101.38</v>
      </c>
      <c r="H19" s="17">
        <f>HLOOKUP("Louisiana Heavy Sweet",'[2]Historical Yearly Input'!$2:$14,MATCH($B19,'[2]Historical Yearly Input'!$B$2:$B$14,0),FALSE)</f>
        <v>105.80250000000001</v>
      </c>
      <c r="I19" s="17">
        <f>HLOOKUP("Louisiana Light Sweet",'[2]Historical Yearly Input'!$2:$14,MATCH($B19,'[2]Historical Yearly Input'!$B$2:$B$14,0),FALSE)</f>
        <v>106.19166666666668</v>
      </c>
      <c r="J19" s="17">
        <f>HLOOKUP("MARS Blend",'[2]Historical Yearly Input'!$2:$14,MATCH($B19,'[2]Historical Yearly Input'!$B$2:$B$14,0),FALSE)</f>
        <v>101.80333333333334</v>
      </c>
      <c r="K19" s="17">
        <f>HLOOKUP("Wyoming Sweet",'[2]Historical Yearly Input'!$2:$14,MATCH($B19,'[2]Historical Yearly Input'!$B$2:$B$14,0),FALSE)</f>
        <v>89.967499999999987</v>
      </c>
      <c r="L19" s="17">
        <f>HLOOKUP("Brent Spot",'[2]Historical Yearly Input'!$2:$14,MATCH($B19,'[2]Historical Yearly Input'!$B$2:$B$14,0),FALSE)</f>
        <v>108.63749999999999</v>
      </c>
      <c r="M19" s="17">
        <f>HLOOKUP("Gulf Coast Argus Sour Crude Index",'[2]Historical Yearly Input'!$2:$14,MATCH($B19,'[2]Historical Yearly Input'!$B$2:$B$14,0),FALSE)</f>
        <v>101.80333333333334</v>
      </c>
      <c r="N19" s="17">
        <f>HLOOKUP("Average OPEC Basket",'[2]Historical Yearly Input'!$2:$14,MATCH($B19,'[2]Historical Yearly Input'!$B$2:$B$14,0),FALSE)</f>
        <v>105.5058136183261</v>
      </c>
      <c r="O19" s="17">
        <f>HLOOKUP("Venezuelan Merey Crude",'[2]Historical Yearly Input'!$2:$14,MATCH($B19,'[2]Historical Yearly Input'!$B$2:$B$14,0),FALSE)</f>
        <v>96.711666666666659</v>
      </c>
      <c r="P19" s="17">
        <f>HLOOKUP("Nigerian Bonny Light",'[2]Historical Yearly Input'!$2:$14,MATCH($B19,'[2]Historical Yearly Input'!$B$2:$B$14,0),FALSE)</f>
        <v>111.41166666666665</v>
      </c>
      <c r="Q19" s="17">
        <f>HLOOKUP("Arabia UAE Dubai Feteh",'[2]Historical Yearly Input'!$2:$14,MATCH($B19,'[2]Historical Yearly Input'!$B$2:$B$14,0),FALSE)</f>
        <v>105.50833333333333</v>
      </c>
      <c r="R19" s="17">
        <f>HLOOKUP("Mexico Maya",'[2]Historical Yearly Input'!$2:$14,MATCH($B19,'[2]Historical Yearly Input'!$B$2:$B$14,0),FALSE)</f>
        <v>98.060000000000016</v>
      </c>
      <c r="S19" s="101">
        <f>HLOOKUP("Russia Urals",'[2]Historical Yearly Input'!$2:$14,MATCH($B19,'[2]Historical Yearly Input'!$B$2:$B$14,0),FALSE)</f>
        <v>108.05333333333334</v>
      </c>
      <c r="T19" s="102">
        <f>HLOOKUP("Indonesia Minas",'[2]Historical Yearly Input'!$2:$14,MATCH($B19,'[2]Historical Yearly Input'!$B$2:$B$14,0),FALSE)</f>
        <v>107.54249999999998</v>
      </c>
      <c r="U19" s="101">
        <f>HLOOKUP("NYMEX Henry Hub",'[2]Historical Yearly Input'!$2:$14,MATCH($B19,'[2]Historical Yearly Input'!$B$2:$B$14,0),FALSE)</f>
        <v>3.7283333333333335</v>
      </c>
      <c r="V19" s="101">
        <f>HLOOKUP("Permian Waha",'[2]Historical Yearly Input'!$2:$14,MATCH($B19,'[2]Historical Yearly Input'!$B$2:$B$14,0),FALSE)</f>
        <v>3.6183333333333336</v>
      </c>
      <c r="W19" s="101">
        <f>HLOOKUP("San Juan Ignacio",'[2]Historical Yearly Input'!$2:$14,MATCH($B19,'[2]Historical Yearly Input'!$B$2:$B$14,0),FALSE)</f>
        <v>3.6358333333333341</v>
      </c>
      <c r="X19" s="101">
        <f>HLOOKUP("Gulf Coast (Onshore)",'[2]Historical Yearly Input'!$2:$14,MATCH($B19,'[2]Historical Yearly Input'!$B$2:$B$14,0),FALSE)</f>
        <v>3.6374999999999997</v>
      </c>
      <c r="Y19" s="101">
        <f>HLOOKUP("Louisiana East Texas",'[2]Historical Yearly Input'!$2:$14,MATCH($B19,'[2]Historical Yearly Input'!$B$2:$B$14,0),FALSE)</f>
        <v>3.6808333333333336</v>
      </c>
      <c r="Z19" s="101">
        <f>HLOOKUP("Rocky Mountain Opal",'[2]Historical Yearly Input'!$2:$14,MATCH($B19,'[2]Historical Yearly Input'!$B$2:$B$14,0),FALSE)</f>
        <v>3.6399999999999992</v>
      </c>
      <c r="AA19" s="102">
        <f>HLOOKUP("UK National Balancing Point",'[2]Historical Yearly Input'!$2:$14,MATCH($B19,'[2]Historical Yearly Input'!$B$2:$B$14,0),FALSE)</f>
        <v>10.662711415396197</v>
      </c>
      <c r="AB19" s="103">
        <f>HLOOKUP("Ethanol CBOT",'[2]Historical Yearly Input'!$2:$14,MATCH($B19,'[2]Historical Yearly Input'!$B$2:$B$14,0),FALSE)</f>
        <v>2.0372428498755677</v>
      </c>
    </row>
    <row r="20" spans="1:28" x14ac:dyDescent="0.2">
      <c r="A20" s="15" t="s">
        <v>57</v>
      </c>
      <c r="B20" s="16">
        <f t="shared" si="0"/>
        <v>2014</v>
      </c>
      <c r="C20" s="100">
        <f>HLOOKUP("British Pound",'[2]Historical Yearly Input'!$2:$14,MATCH($B20,'[2]Historical Yearly Input'!$B$2:$B$14,0),FALSE)</f>
        <v>1.6474583333333335</v>
      </c>
      <c r="D20" s="39">
        <f>HLOOKUP("Euro",'[2]Historical Yearly Input'!$2:$14,MATCH($B20,'[2]Historical Yearly Input'!$B$2:$B$14,0),FALSE)</f>
        <v>1.3289250000000001</v>
      </c>
      <c r="E20" s="17">
        <f>HLOOKUP("WTI",'[2]Historical Yearly Input'!$2:$14,MATCH($B20,'[2]Historical Yearly Input'!$B$2:$B$14,0),FALSE)</f>
        <v>93.258333333333326</v>
      </c>
      <c r="F20" s="17">
        <f>HLOOKUP("Alaskan North Slope",'[2]Historical Yearly Input'!$2:$14,MATCH($B20,'[2]Historical Yearly Input'!$B$2:$B$14,0),FALSE)</f>
        <v>86.452500000000001</v>
      </c>
      <c r="G20" s="17">
        <f>HLOOKUP("California Kern River",'[2]Historical Yearly Input'!$2:$14,MATCH($B20,'[2]Historical Yearly Input'!$B$2:$B$14,0),FALSE)</f>
        <v>90.38</v>
      </c>
      <c r="H20" s="17">
        <f>HLOOKUP("Louisiana Heavy Sweet",'[2]Historical Yearly Input'!$2:$14,MATCH($B20,'[2]Historical Yearly Input'!$B$2:$B$14,0),FALSE)</f>
        <v>96.157499999999985</v>
      </c>
      <c r="I20" s="17">
        <f>HLOOKUP("Louisiana Light Sweet",'[2]Historical Yearly Input'!$2:$14,MATCH($B20,'[2]Historical Yearly Input'!$B$2:$B$14,0),FALSE)</f>
        <v>94.245833333333323</v>
      </c>
      <c r="J20" s="17">
        <f>HLOOKUP("MARS Blend",'[2]Historical Yearly Input'!$2:$14,MATCH($B20,'[2]Historical Yearly Input'!$B$2:$B$14,0),FALSE)</f>
        <v>92.944999999999993</v>
      </c>
      <c r="K20" s="17">
        <f>HLOOKUP("Wyoming Sweet",'[2]Historical Yearly Input'!$2:$14,MATCH($B20,'[2]Historical Yearly Input'!$B$2:$B$14,0),FALSE)</f>
        <v>83.49499999999999</v>
      </c>
      <c r="L20" s="17">
        <f>HLOOKUP("Brent Spot",'[2]Historical Yearly Input'!$2:$14,MATCH($B20,'[2]Historical Yearly Input'!$B$2:$B$14,0),FALSE)</f>
        <v>99.023333333333326</v>
      </c>
      <c r="M20" s="17">
        <f>HLOOKUP("Gulf Coast Argus Sour Crude Index",'[2]Historical Yearly Input'!$2:$14,MATCH($B20,'[2]Historical Yearly Input'!$B$2:$B$14,0),FALSE)</f>
        <v>92.944999999999993</v>
      </c>
      <c r="N20" s="17">
        <f>HLOOKUP("Average OPEC Basket",'[2]Historical Yearly Input'!$2:$14,MATCH($B20,'[2]Historical Yearly Input'!$B$2:$B$14,0),FALSE)</f>
        <v>96.189172509254036</v>
      </c>
      <c r="O20" s="17">
        <f>HLOOKUP("Venezuelan Merey Crude",'[2]Historical Yearly Input'!$2:$14,MATCH($B20,'[2]Historical Yearly Input'!$B$2:$B$14,0),FALSE)</f>
        <v>86.78749999999998</v>
      </c>
      <c r="P20" s="17">
        <f>HLOOKUP("Nigerian Bonny Light",'[2]Historical Yearly Input'!$2:$14,MATCH($B20,'[2]Historical Yearly Input'!$B$2:$B$14,0),FALSE)</f>
        <v>100.76999999999998</v>
      </c>
      <c r="Q20" s="17">
        <f>HLOOKUP("Arabia UAE Dubai Feteh",'[2]Historical Yearly Input'!$2:$14,MATCH($B20,'[2]Historical Yearly Input'!$B$2:$B$14,0),FALSE)</f>
        <v>96.608333333333348</v>
      </c>
      <c r="R20" s="17">
        <f>HLOOKUP("Mexico Maya",'[2]Historical Yearly Input'!$2:$14,MATCH($B20,'[2]Historical Yearly Input'!$B$2:$B$14,0),FALSE)</f>
        <v>85.805833333333325</v>
      </c>
      <c r="S20" s="101">
        <f>HLOOKUP("Russia Urals",'[2]Historical Yearly Input'!$2:$14,MATCH($B20,'[2]Historical Yearly Input'!$B$2:$B$14,0),FALSE)</f>
        <v>98.00833333333334</v>
      </c>
      <c r="T20" s="102">
        <f>HLOOKUP("Indonesia Minas",'[2]Historical Yearly Input'!$2:$14,MATCH($B20,'[2]Historical Yearly Input'!$B$2:$B$14,0),FALSE)</f>
        <v>98.627500000000012</v>
      </c>
      <c r="U20" s="101">
        <f>HLOOKUP("NYMEX Henry Hub",'[2]Historical Yearly Input'!$2:$14,MATCH($B20,'[2]Historical Yearly Input'!$B$2:$B$14,0),FALSE)</f>
        <v>4.3916666666666666</v>
      </c>
      <c r="V20" s="101">
        <f>HLOOKUP("Permian Waha",'[2]Historical Yearly Input'!$2:$14,MATCH($B20,'[2]Historical Yearly Input'!$B$2:$B$14,0),FALSE)</f>
        <v>4.2774999999999999</v>
      </c>
      <c r="W20" s="101">
        <f>HLOOKUP("San Juan Ignacio",'[2]Historical Yearly Input'!$2:$14,MATCH($B20,'[2]Historical Yearly Input'!$B$2:$B$14,0),FALSE)</f>
        <v>4.28</v>
      </c>
      <c r="X20" s="101">
        <f>HLOOKUP("Gulf Coast (Onshore)",'[2]Historical Yearly Input'!$2:$14,MATCH($B20,'[2]Historical Yearly Input'!$B$2:$B$14,0),FALSE)</f>
        <v>4.3075000000000001</v>
      </c>
      <c r="Y20" s="101">
        <f>HLOOKUP("Louisiana East Texas",'[2]Historical Yearly Input'!$2:$14,MATCH($B20,'[2]Historical Yearly Input'!$B$2:$B$14,0),FALSE)</f>
        <v>4.0358333333333336</v>
      </c>
      <c r="Z20" s="101">
        <f>HLOOKUP("Rocky Mountain Opal",'[2]Historical Yearly Input'!$2:$14,MATCH($B20,'[2]Historical Yearly Input'!$B$2:$B$14,0),FALSE)</f>
        <v>4.3424999999999994</v>
      </c>
      <c r="AA20" s="102">
        <f>HLOOKUP("UK National Balancing Point",'[2]Historical Yearly Input'!$2:$14,MATCH($B20,'[2]Historical Yearly Input'!$B$2:$B$14,0),FALSE)</f>
        <v>8.2400887916431405</v>
      </c>
      <c r="AB20" s="103">
        <f>HLOOKUP("Ethanol CBOT",'[2]Historical Yearly Input'!$2:$14,MATCH($B20,'[2]Historical Yearly Input'!$B$2:$B$14,0),FALSE)</f>
        <v>1.9276666666666664</v>
      </c>
    </row>
    <row r="21" spans="1:28" x14ac:dyDescent="0.2">
      <c r="A21" s="15" t="s">
        <v>58</v>
      </c>
      <c r="B21" s="16">
        <f t="shared" si="0"/>
        <v>2015</v>
      </c>
      <c r="C21" s="100">
        <f>HLOOKUP("British Pound",'[2]Historical Yearly Input'!$2:$14,MATCH($B21,'[2]Historical Yearly Input'!$B$2:$B$14,0),FALSE)</f>
        <v>1.5285250000000001</v>
      </c>
      <c r="D21" s="39">
        <f>HLOOKUP("Euro",'[2]Historical Yearly Input'!$2:$14,MATCH($B21,'[2]Historical Yearly Input'!$B$2:$B$14,0),FALSE)</f>
        <v>1.1100416666666666</v>
      </c>
      <c r="E21" s="17">
        <f>HLOOKUP("WTI",'[2]Historical Yearly Input'!$2:$14,MATCH($B21,'[2]Historical Yearly Input'!$B$2:$B$14,0),FALSE)</f>
        <v>48.6875</v>
      </c>
      <c r="F21" s="17">
        <f>HLOOKUP("Alaskan North Slope",'[2]Historical Yearly Input'!$2:$14,MATCH($B21,'[2]Historical Yearly Input'!$B$2:$B$14,0),FALSE)</f>
        <v>41.343333333333327</v>
      </c>
      <c r="G21" s="17">
        <f>HLOOKUP("California Kern River",'[2]Historical Yearly Input'!$2:$14,MATCH($B21,'[2]Historical Yearly Input'!$B$2:$B$14,0),FALSE)</f>
        <v>44.748333333333335</v>
      </c>
      <c r="H21" s="17">
        <f>HLOOKUP("Louisiana Heavy Sweet",'[2]Historical Yearly Input'!$2:$14,MATCH($B21,'[2]Historical Yearly Input'!$B$2:$B$14,0),FALSE)</f>
        <v>48.376666666666665</v>
      </c>
      <c r="I21" s="17">
        <f>HLOOKUP("Louisiana Light Sweet",'[2]Historical Yearly Input'!$2:$14,MATCH($B21,'[2]Historical Yearly Input'!$B$2:$B$14,0),FALSE)</f>
        <v>48.321666666666658</v>
      </c>
      <c r="J21" s="17">
        <f>HLOOKUP("MARS Blend",'[2]Historical Yearly Input'!$2:$14,MATCH($B21,'[2]Historical Yearly Input'!$B$2:$B$14,0),FALSE)</f>
        <v>46.57</v>
      </c>
      <c r="K21" s="17">
        <f>HLOOKUP("Wyoming Sweet",'[2]Historical Yearly Input'!$2:$14,MATCH($B21,'[2]Historical Yearly Input'!$B$2:$B$14,0),FALSE)</f>
        <v>41.590833333333336</v>
      </c>
      <c r="L21" s="17">
        <f>HLOOKUP("Brent Spot",'[2]Historical Yearly Input'!$2:$14,MATCH($B21,'[2]Historical Yearly Input'!$B$2:$B$14,0),FALSE)</f>
        <v>52.386666666666663</v>
      </c>
      <c r="M21" s="17">
        <f>HLOOKUP("Gulf Coast Argus Sour Crude Index",'[2]Historical Yearly Input'!$2:$14,MATCH($B21,'[2]Historical Yearly Input'!$B$2:$B$14,0),FALSE)</f>
        <v>46.57</v>
      </c>
      <c r="N21" s="17">
        <f>HLOOKUP("Average OPEC Basket",'[2]Historical Yearly Input'!$2:$14,MATCH($B21,'[2]Historical Yearly Input'!$B$2:$B$14,0),FALSE)</f>
        <v>49.517233295689813</v>
      </c>
      <c r="O21" s="17">
        <f>HLOOKUP("Venezuelan Merey Crude",'[2]Historical Yearly Input'!$2:$14,MATCH($B21,'[2]Historical Yearly Input'!$B$2:$B$14,0),FALSE)</f>
        <v>41.172500000000007</v>
      </c>
      <c r="P21" s="17">
        <f>HLOOKUP("Nigerian Bonny Light",'[2]Historical Yearly Input'!$2:$14,MATCH($B21,'[2]Historical Yearly Input'!$B$2:$B$14,0),FALSE)</f>
        <v>52.987500000000004</v>
      </c>
      <c r="Q21" s="17">
        <f>HLOOKUP("Arabia UAE Dubai Feteh",'[2]Historical Yearly Input'!$2:$14,MATCH($B21,'[2]Historical Yearly Input'!$B$2:$B$14,0),FALSE)</f>
        <v>50.962499999999999</v>
      </c>
      <c r="R21" s="17">
        <f>HLOOKUP("Mexico Maya",'[2]Historical Yearly Input'!$2:$14,MATCH($B21,'[2]Historical Yearly Input'!$B$2:$B$14,0),FALSE)</f>
        <v>44.101666666666667</v>
      </c>
      <c r="S21" s="101">
        <f>HLOOKUP("Russia Urals",'[2]Historical Yearly Input'!$2:$14,MATCH($B21,'[2]Historical Yearly Input'!$B$2:$B$14,0),FALSE)</f>
        <v>51.934999999999995</v>
      </c>
      <c r="T21" s="102">
        <f>HLOOKUP("Indonesia Minas",'[2]Historical Yearly Input'!$2:$14,MATCH($B21,'[2]Historical Yearly Input'!$B$2:$B$14,0),FALSE)</f>
        <v>49.234999999999992</v>
      </c>
      <c r="U21" s="101">
        <f>HLOOKUP("NYMEX Henry Hub",'[2]Historical Yearly Input'!$2:$14,MATCH($B21,'[2]Historical Yearly Input'!$B$2:$B$14,0),FALSE)</f>
        <v>2.63</v>
      </c>
      <c r="V21" s="101">
        <f>HLOOKUP("Permian Waha",'[2]Historical Yearly Input'!$2:$14,MATCH($B21,'[2]Historical Yearly Input'!$B$2:$B$14,0),FALSE)</f>
        <v>2.4341666666666666</v>
      </c>
      <c r="W21" s="101">
        <f>HLOOKUP("San Juan Ignacio",'[2]Historical Yearly Input'!$2:$14,MATCH($B21,'[2]Historical Yearly Input'!$B$2:$B$14,0),FALSE)</f>
        <v>2.4533333333333336</v>
      </c>
      <c r="X21" s="101">
        <f>HLOOKUP("Gulf Coast (Onshore)",'[2]Historical Yearly Input'!$2:$14,MATCH($B21,'[2]Historical Yearly Input'!$B$2:$B$14,0),FALSE)</f>
        <v>2.5133333333333332</v>
      </c>
      <c r="Y21" s="101">
        <f>HLOOKUP("Louisiana East Texas",'[2]Historical Yearly Input'!$2:$14,MATCH($B21,'[2]Historical Yearly Input'!$B$2:$B$14,0),FALSE)</f>
        <v>2.57</v>
      </c>
      <c r="Z21" s="101">
        <f>HLOOKUP("Rocky Mountain Opal",'[2]Historical Yearly Input'!$2:$14,MATCH($B21,'[2]Historical Yearly Input'!$B$2:$B$14,0),FALSE)</f>
        <v>2.4499999999999997</v>
      </c>
      <c r="AA21" s="102">
        <f>HLOOKUP("UK National Balancing Point",'[2]Historical Yearly Input'!$2:$14,MATCH($B21,'[2]Historical Yearly Input'!$B$2:$B$14,0),FALSE)</f>
        <v>6.5293850630363783</v>
      </c>
      <c r="AB21" s="103">
        <f>HLOOKUP("Ethanol CBOT",'[2]Historical Yearly Input'!$2:$14,MATCH($B21,'[2]Historical Yearly Input'!$B$2:$B$14,0),FALSE)</f>
        <v>1.4966666666666668</v>
      </c>
    </row>
    <row r="22" spans="1:28" x14ac:dyDescent="0.2">
      <c r="A22" s="27" t="s">
        <v>59</v>
      </c>
      <c r="B22" s="28">
        <f t="shared" si="0"/>
        <v>2016</v>
      </c>
      <c r="C22" s="104">
        <f>HLOOKUP("British Pound",'[2]Historical Yearly Input'!$2:$14,MATCH($B22,'[2]Historical Yearly Input'!$B$2:$B$14,0),FALSE)</f>
        <v>1.3562166666666666</v>
      </c>
      <c r="D22" s="59">
        <f>HLOOKUP("Euro",'[2]Historical Yearly Input'!$2:$14,MATCH($B22,'[2]Historical Yearly Input'!$B$2:$B$14,0),FALSE)</f>
        <v>1.1076916666666665</v>
      </c>
      <c r="E22" s="105">
        <f>HLOOKUP("WTI",'[2]Historical Yearly Input'!$2:$14,MATCH($B22,'[2]Historical Yearly Input'!$B$2:$B$14,0),FALSE)</f>
        <v>42.977499999999999</v>
      </c>
      <c r="F22" s="105">
        <f>HLOOKUP("Alaskan North Slope",'[2]Historical Yearly Input'!$2:$14,MATCH($B22,'[2]Historical Yearly Input'!$B$2:$B$14,0),FALSE)</f>
        <v>32.822500000000005</v>
      </c>
      <c r="G22" s="105">
        <f>HLOOKUP("California Kern River",'[2]Historical Yearly Input'!$2:$14,MATCH($B22,'[2]Historical Yearly Input'!$B$2:$B$14,0),FALSE)</f>
        <v>36.922499999999992</v>
      </c>
      <c r="H22" s="105">
        <f>HLOOKUP("Louisiana Heavy Sweet",'[2]Historical Yearly Input'!$2:$14,MATCH($B22,'[2]Historical Yearly Input'!$B$2:$B$14,0),FALSE)</f>
        <v>40.43</v>
      </c>
      <c r="I22" s="105">
        <f>HLOOKUP("Louisiana Light Sweet",'[2]Historical Yearly Input'!$2:$14,MATCH($B22,'[2]Historical Yearly Input'!$B$2:$B$14,0),FALSE)</f>
        <v>40.206666666666671</v>
      </c>
      <c r="J22" s="105">
        <f>HLOOKUP("MARS Blend",'[2]Historical Yearly Input'!$2:$14,MATCH($B22,'[2]Historical Yearly Input'!$B$2:$B$14,0),FALSE)</f>
        <v>36.496666666666663</v>
      </c>
      <c r="K22" s="105">
        <f>HLOOKUP("Wyoming Sweet",'[2]Historical Yearly Input'!$2:$14,MATCH($B22,'[2]Historical Yearly Input'!$B$2:$B$14,0),FALSE)</f>
        <v>38.443333333333335</v>
      </c>
      <c r="L22" s="105">
        <f>HLOOKUP("Brent Spot",'[2]Historical Yearly Input'!$2:$14,MATCH($B22,'[2]Historical Yearly Input'!$B$2:$B$14,0),FALSE)</f>
        <v>43.32500000000001</v>
      </c>
      <c r="M22" s="105">
        <f>HLOOKUP("Gulf Coast Argus Sour Crude Index",'[2]Historical Yearly Input'!$2:$14,MATCH($B22,'[2]Historical Yearly Input'!$B$2:$B$14,0),FALSE)</f>
        <v>36.496666666666663</v>
      </c>
      <c r="N22" s="105">
        <f>HLOOKUP("Average OPEC Basket",'[2]Historical Yearly Input'!$2:$14,MATCH($B22,'[2]Historical Yearly Input'!$B$2:$B$14,0),FALSE)</f>
        <v>40.6331433198444</v>
      </c>
      <c r="O22" s="105">
        <f>HLOOKUP("Venezuelan Merey Crude",'[2]Historical Yearly Input'!$2:$14,MATCH($B22,'[2]Historical Yearly Input'!$B$2:$B$14,0),FALSE)</f>
        <v>33.749166666666675</v>
      </c>
      <c r="P22" s="105">
        <f>HLOOKUP("Nigerian Bonny Light",'[2]Historical Yearly Input'!$2:$14,MATCH($B22,'[2]Historical Yearly Input'!$B$2:$B$14,0),FALSE)</f>
        <v>43.774166666666666</v>
      </c>
      <c r="Q22" s="105">
        <f>HLOOKUP("Arabia UAE Dubai Feteh",'[2]Historical Yearly Input'!$2:$14,MATCH($B22,'[2]Historical Yearly Input'!$B$2:$B$14,0),FALSE)</f>
        <v>41.140833333333333</v>
      </c>
      <c r="R22" s="105">
        <f>HLOOKUP("Mexico Maya",'[2]Historical Yearly Input'!$2:$14,MATCH($B22,'[2]Historical Yearly Input'!$B$2:$B$14,0),FALSE)</f>
        <v>36.291666666666664</v>
      </c>
      <c r="S22" s="106">
        <f>HLOOKUP("Russia Urals",'[2]Historical Yearly Input'!$2:$14,MATCH($B22,'[2]Historical Yearly Input'!$B$2:$B$14,0),FALSE)</f>
        <v>41.839166666666664</v>
      </c>
      <c r="T22" s="107">
        <f>HLOOKUP("Indonesia Minas",'[2]Historical Yearly Input'!$2:$14,MATCH($B22,'[2]Historical Yearly Input'!$B$2:$B$14,0),FALSE)</f>
        <v>40.760833333333331</v>
      </c>
      <c r="U22" s="106">
        <f>HLOOKUP("NYMEX Henry Hub",'[2]Historical Yearly Input'!$2:$14,MATCH($B22,'[2]Historical Yearly Input'!$B$2:$B$14,0),FALSE)</f>
        <v>2.5029166666666671</v>
      </c>
      <c r="V22" s="106">
        <f>HLOOKUP("Permian Waha",'[2]Historical Yearly Input'!$2:$14,MATCH($B22,'[2]Historical Yearly Input'!$B$2:$B$14,0),FALSE)</f>
        <v>2.2495833333333328</v>
      </c>
      <c r="W22" s="106">
        <f>HLOOKUP("San Juan Ignacio",'[2]Historical Yearly Input'!$2:$14,MATCH($B22,'[2]Historical Yearly Input'!$B$2:$B$14,0),FALSE)</f>
        <v>2.2570833333333336</v>
      </c>
      <c r="X22" s="106">
        <f>HLOOKUP("Gulf Coast (Onshore)",'[2]Historical Yearly Input'!$2:$14,MATCH($B22,'[2]Historical Yearly Input'!$B$2:$B$14,0),FALSE)</f>
        <v>2.407083333333333</v>
      </c>
      <c r="Y22" s="106">
        <f>HLOOKUP("Louisiana East Texas",'[2]Historical Yearly Input'!$2:$14,MATCH($B22,'[2]Historical Yearly Input'!$B$2:$B$14,0),FALSE)</f>
        <v>2.3920833333333333</v>
      </c>
      <c r="Z22" s="106">
        <f>HLOOKUP("Rocky Mountain Opal",'[2]Historical Yearly Input'!$2:$14,MATCH($B22,'[2]Historical Yearly Input'!$B$2:$B$14,0),FALSE)</f>
        <v>2.2445833333333334</v>
      </c>
      <c r="AA22" s="107">
        <f>HLOOKUP("UK National Balancing Point",'[2]Historical Yearly Input'!$2:$14,MATCH($B22,'[2]Historical Yearly Input'!$B$2:$B$14,0),FALSE)</f>
        <v>4.6568258665478375</v>
      </c>
      <c r="AB22" s="107">
        <f>HLOOKUP("Ethanol CBOT",'[2]Historical Yearly Input'!$2:$14,MATCH($B22,'[2]Historical Yearly Input'!$B$2:$B$14,0),FALSE)</f>
        <v>1.5355302598971077</v>
      </c>
    </row>
    <row r="23" spans="1:28" x14ac:dyDescent="0.2">
      <c r="A23" s="15" t="s">
        <v>62</v>
      </c>
      <c r="B23" s="16">
        <f>YEAR(EFFDATE+1)</f>
        <v>2017</v>
      </c>
      <c r="C23" s="100">
        <f>HLOOKUP("British Pound",'[2]Deloitte Forecast Input Esc'!$2:$53,2+'[2]Deloitte Forecast Input Esc'!$A4,FALSE)</f>
        <v>1.25</v>
      </c>
      <c r="D23" s="39">
        <f>HLOOKUP("Euro",'[2]Deloitte Forecast Input Esc'!$2:$53,2+'[2]Deloitte Forecast Input Esc'!$A4,FALSE)</f>
        <v>1.05</v>
      </c>
      <c r="E23" s="17">
        <f>HLOOKUP("WTI",'[2]Deloitte Forecast Input Esc'!$2:$53,2+'[2]Deloitte Forecast Input Esc'!$A4,FALSE)</f>
        <v>55</v>
      </c>
      <c r="F23" s="17">
        <f>HLOOKUP("Alaskan North Slope",'[2]Deloitte Forecast Input Esc'!$2:$53,2+'[2]Deloitte Forecast Input Esc'!$A4,FALSE)</f>
        <v>46</v>
      </c>
      <c r="G23" s="17">
        <f>HLOOKUP("California Kern River",'[2]Deloitte Forecast Input Esc'!$2:$53,2+'[2]Deloitte Forecast Input Esc'!$A4,FALSE)</f>
        <v>50</v>
      </c>
      <c r="H23" s="17">
        <f>HLOOKUP("Louisiana Heavy Sweet",'[2]Deloitte Forecast Input Esc'!$2:$53,2+'[2]Deloitte Forecast Input Esc'!$A4,FALSE)</f>
        <v>52.5</v>
      </c>
      <c r="I23" s="17">
        <f>HLOOKUP("Louisiana Light Sweet",'[2]Deloitte Forecast Input Esc'!$2:$53,2+'[2]Deloitte Forecast Input Esc'!$A4,FALSE)</f>
        <v>53</v>
      </c>
      <c r="J23" s="17">
        <f>HLOOKUP("MARS Blend",'[2]Deloitte Forecast Input Esc'!$2:$53,2+'[2]Deloitte Forecast Input Esc'!$A4,FALSE)</f>
        <v>50</v>
      </c>
      <c r="K23" s="17">
        <f>HLOOKUP("Wyoming Sweet",'[2]Deloitte Forecast Input Esc'!$2:$53,2+'[2]Deloitte Forecast Input Esc'!$A4,FALSE)</f>
        <v>49</v>
      </c>
      <c r="L23" s="17">
        <f>HLOOKUP("Brent Spot",'[2]Deloitte Forecast Input Esc'!$2:$53,2+'[2]Deloitte Forecast Input Esc'!$A4,FALSE)</f>
        <v>56</v>
      </c>
      <c r="M23" s="17">
        <f>HLOOKUP("Gulf Coast Argus Sour Crude Index",'[2]Deloitte Forecast Input Esc'!$2:$53,2+'[2]Deloitte Forecast Input Esc'!$A4,FALSE)</f>
        <v>50</v>
      </c>
      <c r="N23" s="17">
        <f>HLOOKUP("Average OPEC Basket",'[2]Deloitte Forecast Input Esc'!$2:$53,2+'[2]Deloitte Forecast Input Esc'!$A4,FALSE)</f>
        <v>54</v>
      </c>
      <c r="O23" s="17">
        <f>HLOOKUP("Venezuelan Merey Crude",'[2]Deloitte Forecast Input Esc'!$2:$53,2+'[2]Deloitte Forecast Input Esc'!$A4,FALSE)</f>
        <v>47</v>
      </c>
      <c r="P23" s="17">
        <f>HLOOKUP("Nigerian Bonny Light",'[2]Deloitte Forecast Input Esc'!$2:$53,2+'[2]Deloitte Forecast Input Esc'!$A4,FALSE)</f>
        <v>56.4</v>
      </c>
      <c r="Q23" s="17">
        <f>HLOOKUP("Arabia UAE Dubai Feteh",'[2]Deloitte Forecast Input Esc'!$2:$53,2+'[2]Deloitte Forecast Input Esc'!$A4,FALSE)</f>
        <v>53.5</v>
      </c>
      <c r="R23" s="17">
        <f>HLOOKUP("Mexico Maya",'[2]Deloitte Forecast Input Esc'!$2:$53,2+'[2]Deloitte Forecast Input Esc'!$A4,FALSE)</f>
        <v>48.5</v>
      </c>
      <c r="S23" s="101">
        <f>HLOOKUP("Russia Urals",'[2]Deloitte Forecast Input Esc'!$2:$53,2+'[2]Deloitte Forecast Input Esc'!$A4,FALSE)</f>
        <v>54.5</v>
      </c>
      <c r="T23" s="102">
        <f>HLOOKUP("Indonesia Minas",'[2]Deloitte Forecast Input Esc'!$2:$53,2+'[2]Deloitte Forecast Input Esc'!$A4,FALSE)</f>
        <v>53</v>
      </c>
      <c r="U23" s="101">
        <f>HLOOKUP("NYMEX Henry Hub",'[2]Deloitte Forecast Input Esc'!$2:$53,2+'[2]Deloitte Forecast Input Esc'!$A4,FALSE)</f>
        <v>3.3000000000000003</v>
      </c>
      <c r="V23" s="101">
        <f>HLOOKUP("Permian Waha",'[2]Deloitte Forecast Input Esc'!$2:$53,2+'[2]Deloitte Forecast Input Esc'!$A4,FALSE)</f>
        <v>3.1</v>
      </c>
      <c r="W23" s="101">
        <f>HLOOKUP("San Juan Ignacio",'[2]Deloitte Forecast Input Esc'!$2:$53,2+'[2]Deloitte Forecast Input Esc'!$A4,FALSE)</f>
        <v>3.1</v>
      </c>
      <c r="X23" s="101">
        <f>HLOOKUP("Gulf Coast (Onshore)",'[2]Deloitte Forecast Input Esc'!$2:$53,2+'[2]Deloitte Forecast Input Esc'!$A4,FALSE)</f>
        <v>3.2</v>
      </c>
      <c r="Y23" s="101">
        <f>HLOOKUP("Louisiana East Texas",'[2]Deloitte Forecast Input Esc'!$2:$53,2+'[2]Deloitte Forecast Input Esc'!$A4,FALSE)</f>
        <v>3.2</v>
      </c>
      <c r="Z23" s="101">
        <f>HLOOKUP("Rocky Mountain Opal",'[2]Deloitte Forecast Input Esc'!$2:$53,2+'[2]Deloitte Forecast Input Esc'!$A4,FALSE)</f>
        <v>3.05</v>
      </c>
      <c r="AA23" s="102">
        <f>HLOOKUP("UK National Balancing Point",'[2]Deloitte Forecast Input Esc'!$2:$53,2+'[2]Deloitte Forecast Input Esc'!$A4,FALSE)</f>
        <v>5.3000000000000007</v>
      </c>
      <c r="AB23" s="102">
        <f>HLOOKUP("Ethanol CBOT",'[2]Deloitte Forecast Input Esc'!$2:$53,2+'[2]Deloitte Forecast Input Esc'!$A4,FALSE)</f>
        <v>1.5</v>
      </c>
    </row>
    <row r="24" spans="1:28" x14ac:dyDescent="0.2">
      <c r="A24" s="15" t="s">
        <v>55</v>
      </c>
      <c r="B24" s="16">
        <f>B23+1</f>
        <v>2018</v>
      </c>
      <c r="C24" s="100">
        <f>HLOOKUP("British Pound",'[2]Deloitte Forecast Input Esc'!$2:$53,2+'[2]Deloitte Forecast Input Esc'!$A5,FALSE)</f>
        <v>1.25</v>
      </c>
      <c r="D24" s="39">
        <f>HLOOKUP("Euro",'[2]Deloitte Forecast Input Esc'!$2:$53,2+'[2]Deloitte Forecast Input Esc'!$A5,FALSE)</f>
        <v>1.05</v>
      </c>
      <c r="E24" s="17">
        <f>HLOOKUP("WTI",'[2]Deloitte Forecast Input Esc'!$2:$53,2+'[2]Deloitte Forecast Input Esc'!$A5,FALSE)</f>
        <v>58.150000000000006</v>
      </c>
      <c r="F24" s="17">
        <f>HLOOKUP("Alaskan North Slope",'[2]Deloitte Forecast Input Esc'!$2:$53,2+'[2]Deloitte Forecast Input Esc'!$A5,FALSE)</f>
        <v>48.949999999999996</v>
      </c>
      <c r="G24" s="17">
        <f>HLOOKUP("California Kern River",'[2]Deloitte Forecast Input Esc'!$2:$53,2+'[2]Deloitte Forecast Input Esc'!$A5,FALSE)</f>
        <v>53.05</v>
      </c>
      <c r="H24" s="17">
        <f>HLOOKUP("Louisiana Heavy Sweet",'[2]Deloitte Forecast Input Esc'!$2:$53,2+'[2]Deloitte Forecast Input Esc'!$A5,FALSE)</f>
        <v>55.599999999999994</v>
      </c>
      <c r="I24" s="17">
        <f>HLOOKUP("Louisiana Light Sweet",'[2]Deloitte Forecast Input Esc'!$2:$53,2+'[2]Deloitte Forecast Input Esc'!$A5,FALSE)</f>
        <v>56.1</v>
      </c>
      <c r="J24" s="17">
        <f>HLOOKUP("MARS Blend",'[2]Deloitte Forecast Input Esc'!$2:$53,2+'[2]Deloitte Forecast Input Esc'!$A5,FALSE)</f>
        <v>53.05</v>
      </c>
      <c r="K24" s="17">
        <f>HLOOKUP("Wyoming Sweet",'[2]Deloitte Forecast Input Esc'!$2:$53,2+'[2]Deloitte Forecast Input Esc'!$A5,FALSE)</f>
        <v>52</v>
      </c>
      <c r="L24" s="17">
        <f>HLOOKUP("Brent Spot",'[2]Deloitte Forecast Input Esc'!$2:$53,2+'[2]Deloitte Forecast Input Esc'!$A5,FALSE)</f>
        <v>59.15</v>
      </c>
      <c r="M24" s="17">
        <f>HLOOKUP("Gulf Coast Argus Sour Crude Index",'[2]Deloitte Forecast Input Esc'!$2:$53,2+'[2]Deloitte Forecast Input Esc'!$A5,FALSE)</f>
        <v>53.05</v>
      </c>
      <c r="N24" s="17">
        <f>HLOOKUP("Average OPEC Basket",'[2]Deloitte Forecast Input Esc'!$2:$53,2+'[2]Deloitte Forecast Input Esc'!$A5,FALSE)</f>
        <v>57.1</v>
      </c>
      <c r="O24" s="17">
        <f>HLOOKUP("Venezuelan Merey Crude",'[2]Deloitte Forecast Input Esc'!$2:$53,2+'[2]Deloitte Forecast Input Esc'!$A5,FALSE)</f>
        <v>50</v>
      </c>
      <c r="P24" s="17">
        <f>HLOOKUP("Nigerian Bonny Light",'[2]Deloitte Forecast Input Esc'!$2:$53,2+'[2]Deloitte Forecast Input Esc'!$A5,FALSE)</f>
        <v>59.55</v>
      </c>
      <c r="Q24" s="17">
        <f>HLOOKUP("Arabia UAE Dubai Feteh",'[2]Deloitte Forecast Input Esc'!$2:$53,2+'[2]Deloitte Forecast Input Esc'!$A5,FALSE)</f>
        <v>56.6</v>
      </c>
      <c r="R24" s="17">
        <f>HLOOKUP("Mexico Maya",'[2]Deloitte Forecast Input Esc'!$2:$53,2+'[2]Deloitte Forecast Input Esc'!$A5,FALSE)</f>
        <v>51.5</v>
      </c>
      <c r="S24" s="101">
        <f>HLOOKUP("Russia Urals",'[2]Deloitte Forecast Input Esc'!$2:$53,2+'[2]Deloitte Forecast Input Esc'!$A5,FALSE)</f>
        <v>57.65</v>
      </c>
      <c r="T24" s="102">
        <f>HLOOKUP("Indonesia Minas",'[2]Deloitte Forecast Input Esc'!$2:$53,2+'[2]Deloitte Forecast Input Esc'!$A5,FALSE)</f>
        <v>56.1</v>
      </c>
      <c r="U24" s="101">
        <f>HLOOKUP("NYMEX Henry Hub",'[2]Deloitte Forecast Input Esc'!$2:$53,2+'[2]Deloitte Forecast Input Esc'!$A5,FALSE)</f>
        <v>3.4000000000000004</v>
      </c>
      <c r="V24" s="101">
        <f>HLOOKUP("Permian Waha",'[2]Deloitte Forecast Input Esc'!$2:$53,2+'[2]Deloitte Forecast Input Esc'!$A5,FALSE)</f>
        <v>3.2</v>
      </c>
      <c r="W24" s="101">
        <f>HLOOKUP("San Juan Ignacio",'[2]Deloitte Forecast Input Esc'!$2:$53,2+'[2]Deloitte Forecast Input Esc'!$A5,FALSE)</f>
        <v>3.2</v>
      </c>
      <c r="X24" s="101">
        <f>HLOOKUP("Gulf Coast (Onshore)",'[2]Deloitte Forecast Input Esc'!$2:$53,2+'[2]Deloitte Forecast Input Esc'!$A5,FALSE)</f>
        <v>3.3000000000000003</v>
      </c>
      <c r="Y24" s="101">
        <f>HLOOKUP("Louisiana East Texas",'[2]Deloitte Forecast Input Esc'!$2:$53,2+'[2]Deloitte Forecast Input Esc'!$A5,FALSE)</f>
        <v>3.3000000000000003</v>
      </c>
      <c r="Z24" s="101">
        <f>HLOOKUP("Rocky Mountain Opal",'[2]Deloitte Forecast Input Esc'!$2:$53,2+'[2]Deloitte Forecast Input Esc'!$A5,FALSE)</f>
        <v>3.15</v>
      </c>
      <c r="AA24" s="102">
        <f>HLOOKUP("UK National Balancing Point",'[2]Deloitte Forecast Input Esc'!$2:$53,2+'[2]Deloitte Forecast Input Esc'!$A5,FALSE)</f>
        <v>5.45</v>
      </c>
      <c r="AB24" s="102">
        <f>HLOOKUP("Ethanol CBOT",'[2]Deloitte Forecast Input Esc'!$2:$53,2+'[2]Deloitte Forecast Input Esc'!$A5,FALSE)</f>
        <v>1.55</v>
      </c>
    </row>
    <row r="25" spans="1:28" x14ac:dyDescent="0.2">
      <c r="A25" s="15" t="s">
        <v>56</v>
      </c>
      <c r="B25" s="16">
        <f t="shared" ref="B25:B42" si="1">B24+1</f>
        <v>2019</v>
      </c>
      <c r="C25" s="100">
        <f>HLOOKUP("British Pound",'[2]Deloitte Forecast Input Esc'!$2:$53,2+'[2]Deloitte Forecast Input Esc'!$A6,FALSE)</f>
        <v>1.25</v>
      </c>
      <c r="D25" s="39">
        <f>HLOOKUP("Euro",'[2]Deloitte Forecast Input Esc'!$2:$53,2+'[2]Deloitte Forecast Input Esc'!$A6,FALSE)</f>
        <v>1.05</v>
      </c>
      <c r="E25" s="17">
        <f>HLOOKUP("WTI",'[2]Deloitte Forecast Input Esc'!$2:$53,2+'[2]Deloitte Forecast Input Esc'!$A6,FALSE)</f>
        <v>62.400000000000006</v>
      </c>
      <c r="F25" s="17">
        <f>HLOOKUP("Alaskan North Slope",'[2]Deloitte Forecast Input Esc'!$2:$53,2+'[2]Deloitte Forecast Input Esc'!$A6,FALSE)</f>
        <v>53.05</v>
      </c>
      <c r="G25" s="17">
        <f>HLOOKUP("California Kern River",'[2]Deloitte Forecast Input Esc'!$2:$53,2+'[2]Deloitte Forecast Input Esc'!$A6,FALSE)</f>
        <v>57.199999999999996</v>
      </c>
      <c r="H25" s="17">
        <f>HLOOKUP("Louisiana Heavy Sweet",'[2]Deloitte Forecast Input Esc'!$2:$53,2+'[2]Deloitte Forecast Input Esc'!$A6,FALSE)</f>
        <v>59.800000000000004</v>
      </c>
      <c r="I25" s="17">
        <f>HLOOKUP("Louisiana Light Sweet",'[2]Deloitte Forecast Input Esc'!$2:$53,2+'[2]Deloitte Forecast Input Esc'!$A6,FALSE)</f>
        <v>60.35</v>
      </c>
      <c r="J25" s="17">
        <f>HLOOKUP("MARS Blend",'[2]Deloitte Forecast Input Esc'!$2:$53,2+'[2]Deloitte Forecast Input Esc'!$A6,FALSE)</f>
        <v>57.199999999999996</v>
      </c>
      <c r="K25" s="17">
        <f>HLOOKUP("Wyoming Sweet",'[2]Deloitte Forecast Input Esc'!$2:$53,2+'[2]Deloitte Forecast Input Esc'!$A6,FALSE)</f>
        <v>56.2</v>
      </c>
      <c r="L25" s="17">
        <f>HLOOKUP("Brent Spot",'[2]Deloitte Forecast Input Esc'!$2:$53,2+'[2]Deloitte Forecast Input Esc'!$A6,FALSE)</f>
        <v>63.449999999999996</v>
      </c>
      <c r="M25" s="17">
        <f>HLOOKUP("Gulf Coast Argus Sour Crude Index",'[2]Deloitte Forecast Input Esc'!$2:$53,2+'[2]Deloitte Forecast Input Esc'!$A6,FALSE)</f>
        <v>57.199999999999996</v>
      </c>
      <c r="N25" s="17">
        <f>HLOOKUP("Average OPEC Basket",'[2]Deloitte Forecast Input Esc'!$2:$53,2+'[2]Deloitte Forecast Input Esc'!$A6,FALSE)</f>
        <v>61.4</v>
      </c>
      <c r="O25" s="17">
        <f>HLOOKUP("Venezuelan Merey Crude",'[2]Deloitte Forecast Input Esc'!$2:$53,2+'[2]Deloitte Forecast Input Esc'!$A6,FALSE)</f>
        <v>54.1</v>
      </c>
      <c r="P25" s="17">
        <f>HLOOKUP("Nigerian Bonny Light",'[2]Deloitte Forecast Input Esc'!$2:$53,2+'[2]Deloitte Forecast Input Esc'!$A6,FALSE)</f>
        <v>63.9</v>
      </c>
      <c r="Q25" s="17">
        <f>HLOOKUP("Arabia UAE Dubai Feteh",'[2]Deloitte Forecast Input Esc'!$2:$53,2+'[2]Deloitte Forecast Input Esc'!$A6,FALSE)</f>
        <v>60.85</v>
      </c>
      <c r="R25" s="17">
        <f>HLOOKUP("Mexico Maya",'[2]Deloitte Forecast Input Esc'!$2:$53,2+'[2]Deloitte Forecast Input Esc'!$A6,FALSE)</f>
        <v>55.650000000000006</v>
      </c>
      <c r="S25" s="101">
        <f>HLOOKUP("Russia Urals",'[2]Deloitte Forecast Input Esc'!$2:$53,2+'[2]Deloitte Forecast Input Esc'!$A6,FALSE)</f>
        <v>61.900000000000006</v>
      </c>
      <c r="T25" s="102">
        <f>HLOOKUP("Indonesia Minas",'[2]Deloitte Forecast Input Esc'!$2:$53,2+'[2]Deloitte Forecast Input Esc'!$A6,FALSE)</f>
        <v>60.35</v>
      </c>
      <c r="U25" s="101">
        <f>HLOOKUP("NYMEX Henry Hub",'[2]Deloitte Forecast Input Esc'!$2:$53,2+'[2]Deloitte Forecast Input Esc'!$A6,FALSE)</f>
        <v>3.55</v>
      </c>
      <c r="V25" s="101">
        <f>HLOOKUP("Permian Waha",'[2]Deloitte Forecast Input Esc'!$2:$53,2+'[2]Deloitte Forecast Input Esc'!$A6,FALSE)</f>
        <v>3.35</v>
      </c>
      <c r="W25" s="101">
        <f>HLOOKUP("San Juan Ignacio",'[2]Deloitte Forecast Input Esc'!$2:$53,2+'[2]Deloitte Forecast Input Esc'!$A6,FALSE)</f>
        <v>3.35</v>
      </c>
      <c r="X25" s="101">
        <f>HLOOKUP("Gulf Coast (Onshore)",'[2]Deloitte Forecast Input Esc'!$2:$53,2+'[2]Deloitte Forecast Input Esc'!$A6,FALSE)</f>
        <v>3.4499999999999997</v>
      </c>
      <c r="Y25" s="101">
        <f>HLOOKUP("Louisiana East Texas",'[2]Deloitte Forecast Input Esc'!$2:$53,2+'[2]Deloitte Forecast Input Esc'!$A6,FALSE)</f>
        <v>3.4499999999999997</v>
      </c>
      <c r="Z25" s="101">
        <f>HLOOKUP("Rocky Mountain Opal",'[2]Deloitte Forecast Input Esc'!$2:$53,2+'[2]Deloitte Forecast Input Esc'!$A6,FALSE)</f>
        <v>3.3000000000000003</v>
      </c>
      <c r="AA25" s="102">
        <f>HLOOKUP("UK National Balancing Point",'[2]Deloitte Forecast Input Esc'!$2:$53,2+'[2]Deloitte Forecast Input Esc'!$A6,FALSE)</f>
        <v>5.6000000000000005</v>
      </c>
      <c r="AB25" s="102">
        <f>HLOOKUP("Ethanol CBOT",'[2]Deloitte Forecast Input Esc'!$2:$53,2+'[2]Deloitte Forecast Input Esc'!$A6,FALSE)</f>
        <v>1.55</v>
      </c>
    </row>
    <row r="26" spans="1:28" x14ac:dyDescent="0.2">
      <c r="A26" s="15" t="s">
        <v>63</v>
      </c>
      <c r="B26" s="18">
        <f t="shared" si="1"/>
        <v>2020</v>
      </c>
      <c r="C26" s="100">
        <f>HLOOKUP("British Pound",'[2]Deloitte Forecast Input Esc'!$2:$53,2+'[2]Deloitte Forecast Input Esc'!$A7,FALSE)</f>
        <v>1.25</v>
      </c>
      <c r="D26" s="39">
        <f>HLOOKUP("Euro",'[2]Deloitte Forecast Input Esc'!$2:$53,2+'[2]Deloitte Forecast Input Esc'!$A7,FALSE)</f>
        <v>1.05</v>
      </c>
      <c r="E26" s="17">
        <f>HLOOKUP("WTI",'[2]Deloitte Forecast Input Esc'!$2:$53,2+'[2]Deloitte Forecast Input Esc'!$A7,FALSE)</f>
        <v>69</v>
      </c>
      <c r="F26" s="17">
        <f>HLOOKUP("Alaskan North Slope",'[2]Deloitte Forecast Input Esc'!$2:$53,2+'[2]Deloitte Forecast Input Esc'!$A7,FALSE)</f>
        <v>59.45</v>
      </c>
      <c r="G26" s="17">
        <f>HLOOKUP("California Kern River",'[2]Deloitte Forecast Input Esc'!$2:$53,2+'[2]Deloitte Forecast Input Esc'!$A7,FALSE)</f>
        <v>63.650000000000006</v>
      </c>
      <c r="H26" s="17">
        <f>HLOOKUP("Louisiana Heavy Sweet",'[2]Deloitte Forecast Input Esc'!$2:$53,2+'[2]Deloitte Forecast Input Esc'!$A7,FALSE)</f>
        <v>66.349999999999994</v>
      </c>
      <c r="I26" s="17">
        <f>HLOOKUP("Louisiana Light Sweet",'[2]Deloitte Forecast Input Esc'!$2:$53,2+'[2]Deloitte Forecast Input Esc'!$A7,FALSE)</f>
        <v>66.849999999999994</v>
      </c>
      <c r="J26" s="17">
        <f>HLOOKUP("MARS Blend",'[2]Deloitte Forecast Input Esc'!$2:$53,2+'[2]Deloitte Forecast Input Esc'!$A7,FALSE)</f>
        <v>63.650000000000006</v>
      </c>
      <c r="K26" s="17">
        <f>HLOOKUP("Wyoming Sweet",'[2]Deloitte Forecast Input Esc'!$2:$53,2+'[2]Deloitte Forecast Input Esc'!$A7,FALSE)</f>
        <v>62.599999999999994</v>
      </c>
      <c r="L26" s="17">
        <f>HLOOKUP("Brent Spot",'[2]Deloitte Forecast Input Esc'!$2:$53,2+'[2]Deloitte Forecast Input Esc'!$A7,FALSE)</f>
        <v>70.05</v>
      </c>
      <c r="M26" s="17">
        <f>HLOOKUP("Gulf Coast Argus Sour Crude Index",'[2]Deloitte Forecast Input Esc'!$2:$53,2+'[2]Deloitte Forecast Input Esc'!$A7,FALSE)</f>
        <v>63.650000000000006</v>
      </c>
      <c r="N26" s="17">
        <f>HLOOKUP("Average OPEC Basket",'[2]Deloitte Forecast Input Esc'!$2:$53,2+'[2]Deloitte Forecast Input Esc'!$A7,FALSE)</f>
        <v>67.900000000000006</v>
      </c>
      <c r="O26" s="17">
        <f>HLOOKUP("Venezuelan Merey Crude",'[2]Deloitte Forecast Input Esc'!$2:$53,2+'[2]Deloitte Forecast Input Esc'!$A7,FALSE)</f>
        <v>60.5</v>
      </c>
      <c r="P26" s="17">
        <f>HLOOKUP("Nigerian Bonny Light",'[2]Deloitte Forecast Input Esc'!$2:$53,2+'[2]Deloitte Forecast Input Esc'!$A7,FALSE)</f>
        <v>70.45</v>
      </c>
      <c r="Q26" s="17">
        <f>HLOOKUP("Arabia UAE Dubai Feteh",'[2]Deloitte Forecast Input Esc'!$2:$53,2+'[2]Deloitte Forecast Input Esc'!$A7,FALSE)</f>
        <v>67.400000000000006</v>
      </c>
      <c r="R26" s="17">
        <f>HLOOKUP("Mexico Maya",'[2]Deloitte Forecast Input Esc'!$2:$53,2+'[2]Deloitte Forecast Input Esc'!$A7,FALSE)</f>
        <v>62.1</v>
      </c>
      <c r="S26" s="101">
        <f>HLOOKUP("Russia Urals",'[2]Deloitte Forecast Input Esc'!$2:$53,2+'[2]Deloitte Forecast Input Esc'!$A7,FALSE)</f>
        <v>68.45</v>
      </c>
      <c r="T26" s="102">
        <f>HLOOKUP("Indonesia Minas",'[2]Deloitte Forecast Input Esc'!$2:$53,2+'[2]Deloitte Forecast Input Esc'!$A7,FALSE)</f>
        <v>66.849999999999994</v>
      </c>
      <c r="U26" s="101">
        <f>HLOOKUP("NYMEX Henry Hub",'[2]Deloitte Forecast Input Esc'!$2:$53,2+'[2]Deloitte Forecast Input Esc'!$A7,FALSE)</f>
        <v>3.65</v>
      </c>
      <c r="V26" s="101">
        <f>HLOOKUP("Permian Waha",'[2]Deloitte Forecast Input Esc'!$2:$53,2+'[2]Deloitte Forecast Input Esc'!$A7,FALSE)</f>
        <v>3.4499999999999997</v>
      </c>
      <c r="W26" s="101">
        <f>HLOOKUP("San Juan Ignacio",'[2]Deloitte Forecast Input Esc'!$2:$53,2+'[2]Deloitte Forecast Input Esc'!$A7,FALSE)</f>
        <v>3.4499999999999997</v>
      </c>
      <c r="X26" s="101">
        <f>HLOOKUP("Gulf Coast (Onshore)",'[2]Deloitte Forecast Input Esc'!$2:$53,2+'[2]Deloitte Forecast Input Esc'!$A7,FALSE)</f>
        <v>3.55</v>
      </c>
      <c r="Y26" s="101">
        <f>HLOOKUP("Louisiana East Texas",'[2]Deloitte Forecast Input Esc'!$2:$53,2+'[2]Deloitte Forecast Input Esc'!$A7,FALSE)</f>
        <v>3.55</v>
      </c>
      <c r="Z26" s="101">
        <f>HLOOKUP("Rocky Mountain Opal",'[2]Deloitte Forecast Input Esc'!$2:$53,2+'[2]Deloitte Forecast Input Esc'!$A7,FALSE)</f>
        <v>3.4000000000000004</v>
      </c>
      <c r="AA26" s="102">
        <f>HLOOKUP("UK National Balancing Point",'[2]Deloitte Forecast Input Esc'!$2:$53,2+'[2]Deloitte Forecast Input Esc'!$A7,FALSE)</f>
        <v>5.8</v>
      </c>
      <c r="AB26" s="102">
        <f>HLOOKUP("Ethanol CBOT",'[2]Deloitte Forecast Input Esc'!$2:$53,2+'[2]Deloitte Forecast Input Esc'!$A7,FALSE)</f>
        <v>1.6</v>
      </c>
    </row>
    <row r="27" spans="1:28" x14ac:dyDescent="0.2">
      <c r="A27" s="15" t="s">
        <v>57</v>
      </c>
      <c r="B27" s="18">
        <f t="shared" si="1"/>
        <v>2021</v>
      </c>
      <c r="C27" s="100">
        <f>HLOOKUP("British Pound",'[2]Deloitte Forecast Input Esc'!$2:$53,2+'[2]Deloitte Forecast Input Esc'!$A8,FALSE)</f>
        <v>1.25</v>
      </c>
      <c r="D27" s="39">
        <f>HLOOKUP("Euro",'[2]Deloitte Forecast Input Esc'!$2:$53,2+'[2]Deloitte Forecast Input Esc'!$A8,FALSE)</f>
        <v>1.05</v>
      </c>
      <c r="E27" s="17">
        <f>HLOOKUP("WTI",'[2]Deloitte Forecast Input Esc'!$2:$53,2+'[2]Deloitte Forecast Input Esc'!$A8,FALSE)</f>
        <v>75.75</v>
      </c>
      <c r="F27" s="17">
        <f>HLOOKUP("Alaskan North Slope",'[2]Deloitte Forecast Input Esc'!$2:$53,2+'[2]Deloitte Forecast Input Esc'!$A8,FALSE)</f>
        <v>66.050000000000011</v>
      </c>
      <c r="G27" s="17">
        <f>HLOOKUP("California Kern River",'[2]Deloitte Forecast Input Esc'!$2:$53,2+'[2]Deloitte Forecast Input Esc'!$A8,FALSE)</f>
        <v>70.349999999999994</v>
      </c>
      <c r="H27" s="17">
        <f>HLOOKUP("Louisiana Heavy Sweet",'[2]Deloitte Forecast Input Esc'!$2:$53,2+'[2]Deloitte Forecast Input Esc'!$A8,FALSE)</f>
        <v>73.05</v>
      </c>
      <c r="I27" s="17">
        <f>HLOOKUP("Louisiana Light Sweet",'[2]Deloitte Forecast Input Esc'!$2:$53,2+'[2]Deloitte Forecast Input Esc'!$A8,FALSE)</f>
        <v>73.600000000000009</v>
      </c>
      <c r="J27" s="17">
        <f>HLOOKUP("MARS Blend",'[2]Deloitte Forecast Input Esc'!$2:$53,2+'[2]Deloitte Forecast Input Esc'!$A8,FALSE)</f>
        <v>70.349999999999994</v>
      </c>
      <c r="K27" s="17">
        <f>HLOOKUP("Wyoming Sweet",'[2]Deloitte Forecast Input Esc'!$2:$53,2+'[2]Deloitte Forecast Input Esc'!$A8,FALSE)</f>
        <v>69.3</v>
      </c>
      <c r="L27" s="17">
        <f>HLOOKUP("Brent Spot",'[2]Deloitte Forecast Input Esc'!$2:$53,2+'[2]Deloitte Forecast Input Esc'!$A8,FALSE)</f>
        <v>76.849999999999994</v>
      </c>
      <c r="M27" s="17">
        <f>HLOOKUP("Gulf Coast Argus Sour Crude Index",'[2]Deloitte Forecast Input Esc'!$2:$53,2+'[2]Deloitte Forecast Input Esc'!$A8,FALSE)</f>
        <v>70.349999999999994</v>
      </c>
      <c r="N27" s="17">
        <f>HLOOKUP("Average OPEC Basket",'[2]Deloitte Forecast Input Esc'!$2:$53,2+'[2]Deloitte Forecast Input Esc'!$A8,FALSE)</f>
        <v>74.7</v>
      </c>
      <c r="O27" s="17">
        <f>HLOOKUP("Venezuelan Merey Crude",'[2]Deloitte Forecast Input Esc'!$2:$53,2+'[2]Deloitte Forecast Input Esc'!$A8,FALSE)</f>
        <v>67.099999999999994</v>
      </c>
      <c r="P27" s="17">
        <f>HLOOKUP("Nigerian Bonny Light",'[2]Deloitte Forecast Input Esc'!$2:$53,2+'[2]Deloitte Forecast Input Esc'!$A8,FALSE)</f>
        <v>77.300000000000011</v>
      </c>
      <c r="Q27" s="17">
        <f>HLOOKUP("Arabia UAE Dubai Feteh",'[2]Deloitte Forecast Input Esc'!$2:$53,2+'[2]Deloitte Forecast Input Esc'!$A8,FALSE)</f>
        <v>74.150000000000006</v>
      </c>
      <c r="R27" s="17">
        <f>HLOOKUP("Mexico Maya",'[2]Deloitte Forecast Input Esc'!$2:$53,2+'[2]Deloitte Forecast Input Esc'!$A8,FALSE)</f>
        <v>68.75</v>
      </c>
      <c r="S27" s="101">
        <f>HLOOKUP("Russia Urals",'[2]Deloitte Forecast Input Esc'!$2:$53,2+'[2]Deloitte Forecast Input Esc'!$A8,FALSE)</f>
        <v>75.25</v>
      </c>
      <c r="T27" s="102">
        <f>HLOOKUP("Indonesia Minas",'[2]Deloitte Forecast Input Esc'!$2:$53,2+'[2]Deloitte Forecast Input Esc'!$A8,FALSE)</f>
        <v>73.600000000000009</v>
      </c>
      <c r="U27" s="101">
        <f>HLOOKUP("NYMEX Henry Hub",'[2]Deloitte Forecast Input Esc'!$2:$53,2+'[2]Deloitte Forecast Input Esc'!$A8,FALSE)</f>
        <v>3.8</v>
      </c>
      <c r="V27" s="101">
        <f>HLOOKUP("Permian Waha",'[2]Deloitte Forecast Input Esc'!$2:$53,2+'[2]Deloitte Forecast Input Esc'!$A8,FALSE)</f>
        <v>3.55</v>
      </c>
      <c r="W27" s="101">
        <f>HLOOKUP("San Juan Ignacio",'[2]Deloitte Forecast Input Esc'!$2:$53,2+'[2]Deloitte Forecast Input Esc'!$A8,FALSE)</f>
        <v>3.55</v>
      </c>
      <c r="X27" s="101">
        <f>HLOOKUP("Gulf Coast (Onshore)",'[2]Deloitte Forecast Input Esc'!$2:$53,2+'[2]Deloitte Forecast Input Esc'!$A8,FALSE)</f>
        <v>3.7</v>
      </c>
      <c r="Y27" s="101">
        <f>HLOOKUP("Louisiana East Texas",'[2]Deloitte Forecast Input Esc'!$2:$53,2+'[2]Deloitte Forecast Input Esc'!$A8,FALSE)</f>
        <v>3.7</v>
      </c>
      <c r="Z27" s="101">
        <f>HLOOKUP("Rocky Mountain Opal",'[2]Deloitte Forecast Input Esc'!$2:$53,2+'[2]Deloitte Forecast Input Esc'!$A8,FALSE)</f>
        <v>3.5</v>
      </c>
      <c r="AA27" s="102">
        <f>HLOOKUP("UK National Balancing Point",'[2]Deloitte Forecast Input Esc'!$2:$53,2+'[2]Deloitte Forecast Input Esc'!$A8,FALSE)</f>
        <v>5.9499999999999993</v>
      </c>
      <c r="AB27" s="102">
        <f>HLOOKUP("Ethanol CBOT",'[2]Deloitte Forecast Input Esc'!$2:$53,2+'[2]Deloitte Forecast Input Esc'!$A8,FALSE)</f>
        <v>1.6</v>
      </c>
    </row>
    <row r="28" spans="1:28" x14ac:dyDescent="0.2">
      <c r="A28" s="15" t="s">
        <v>58</v>
      </c>
      <c r="B28" s="18">
        <f t="shared" si="1"/>
        <v>2022</v>
      </c>
      <c r="C28" s="100">
        <f>HLOOKUP("British Pound",'[2]Deloitte Forecast Input Esc'!$2:$53,2+'[2]Deloitte Forecast Input Esc'!$A9,FALSE)</f>
        <v>1.25</v>
      </c>
      <c r="D28" s="39">
        <f>HLOOKUP("Euro",'[2]Deloitte Forecast Input Esc'!$2:$53,2+'[2]Deloitte Forecast Input Esc'!$A9,FALSE)</f>
        <v>1.05</v>
      </c>
      <c r="E28" s="17">
        <f>HLOOKUP("WTI",'[2]Deloitte Forecast Input Esc'!$2:$53,2+'[2]Deloitte Forecast Input Esc'!$A9,FALSE)</f>
        <v>82.8</v>
      </c>
      <c r="F28" s="17">
        <f>HLOOKUP("Alaskan North Slope",'[2]Deloitte Forecast Input Esc'!$2:$53,2+'[2]Deloitte Forecast Input Esc'!$A9,FALSE)</f>
        <v>72.849999999999994</v>
      </c>
      <c r="G28" s="17">
        <f>HLOOKUP("California Kern River",'[2]Deloitte Forecast Input Esc'!$2:$53,2+'[2]Deloitte Forecast Input Esc'!$A9,FALSE)</f>
        <v>77.300000000000011</v>
      </c>
      <c r="H28" s="17">
        <f>HLOOKUP("Louisiana Heavy Sweet",'[2]Deloitte Forecast Input Esc'!$2:$53,2+'[2]Deloitte Forecast Input Esc'!$A9,FALSE)</f>
        <v>80.050000000000011</v>
      </c>
      <c r="I28" s="17">
        <f>HLOOKUP("Louisiana Light Sweet",'[2]Deloitte Forecast Input Esc'!$2:$53,2+'[2]Deloitte Forecast Input Esc'!$A9,FALSE)</f>
        <v>80.600000000000009</v>
      </c>
      <c r="J28" s="17">
        <f>HLOOKUP("MARS Blend",'[2]Deloitte Forecast Input Esc'!$2:$53,2+'[2]Deloitte Forecast Input Esc'!$A9,FALSE)</f>
        <v>77.300000000000011</v>
      </c>
      <c r="K28" s="17">
        <f>HLOOKUP("Wyoming Sweet",'[2]Deloitte Forecast Input Esc'!$2:$53,2+'[2]Deloitte Forecast Input Esc'!$A9,FALSE)</f>
        <v>76.2</v>
      </c>
      <c r="L28" s="17">
        <f>HLOOKUP("Brent Spot",'[2]Deloitte Forecast Input Esc'!$2:$53,2+'[2]Deloitte Forecast Input Esc'!$A9,FALSE)</f>
        <v>83.9</v>
      </c>
      <c r="M28" s="17">
        <f>HLOOKUP("Gulf Coast Argus Sour Crude Index",'[2]Deloitte Forecast Input Esc'!$2:$53,2+'[2]Deloitte Forecast Input Esc'!$A9,FALSE)</f>
        <v>77.300000000000011</v>
      </c>
      <c r="N28" s="17">
        <f>HLOOKUP("Average OPEC Basket",'[2]Deloitte Forecast Input Esc'!$2:$53,2+'[2]Deloitte Forecast Input Esc'!$A9,FALSE)</f>
        <v>81.7</v>
      </c>
      <c r="O28" s="17">
        <f>HLOOKUP("Venezuelan Merey Crude",'[2]Deloitte Forecast Input Esc'!$2:$53,2+'[2]Deloitte Forecast Input Esc'!$A9,FALSE)</f>
        <v>73.949999999999989</v>
      </c>
      <c r="P28" s="17">
        <f>HLOOKUP("Nigerian Bonny Light",'[2]Deloitte Forecast Input Esc'!$2:$53,2+'[2]Deloitte Forecast Input Esc'!$A9,FALSE)</f>
        <v>84.350000000000009</v>
      </c>
      <c r="Q28" s="17">
        <f>HLOOKUP("Arabia UAE Dubai Feteh",'[2]Deloitte Forecast Input Esc'!$2:$53,2+'[2]Deloitte Forecast Input Esc'!$A9,FALSE)</f>
        <v>81.150000000000006</v>
      </c>
      <c r="R28" s="17">
        <f>HLOOKUP("Mexico Maya",'[2]Deloitte Forecast Input Esc'!$2:$53,2+'[2]Deloitte Forecast Input Esc'!$A9,FALSE)</f>
        <v>75.650000000000006</v>
      </c>
      <c r="S28" s="101">
        <f>HLOOKUP("Russia Urals",'[2]Deloitte Forecast Input Esc'!$2:$53,2+'[2]Deloitte Forecast Input Esc'!$A9,FALSE)</f>
        <v>82.25</v>
      </c>
      <c r="T28" s="102">
        <f>HLOOKUP("Indonesia Minas",'[2]Deloitte Forecast Input Esc'!$2:$53,2+'[2]Deloitte Forecast Input Esc'!$A9,FALSE)</f>
        <v>80.600000000000009</v>
      </c>
      <c r="U28" s="101">
        <f>HLOOKUP("NYMEX Henry Hub",'[2]Deloitte Forecast Input Esc'!$2:$53,2+'[2]Deloitte Forecast Input Esc'!$A9,FALSE)</f>
        <v>3.95</v>
      </c>
      <c r="V28" s="101">
        <f>HLOOKUP("Permian Waha",'[2]Deloitte Forecast Input Esc'!$2:$53,2+'[2]Deloitte Forecast Input Esc'!$A9,FALSE)</f>
        <v>3.75</v>
      </c>
      <c r="W28" s="101">
        <f>HLOOKUP("San Juan Ignacio",'[2]Deloitte Forecast Input Esc'!$2:$53,2+'[2]Deloitte Forecast Input Esc'!$A9,FALSE)</f>
        <v>3.75</v>
      </c>
      <c r="X28" s="101">
        <f>HLOOKUP("Gulf Coast (Onshore)",'[2]Deloitte Forecast Input Esc'!$2:$53,2+'[2]Deloitte Forecast Input Esc'!$A9,FALSE)</f>
        <v>3.85</v>
      </c>
      <c r="Y28" s="101">
        <f>HLOOKUP("Louisiana East Texas",'[2]Deloitte Forecast Input Esc'!$2:$53,2+'[2]Deloitte Forecast Input Esc'!$A9,FALSE)</f>
        <v>3.85</v>
      </c>
      <c r="Z28" s="101">
        <f>HLOOKUP("Rocky Mountain Opal",'[2]Deloitte Forecast Input Esc'!$2:$53,2+'[2]Deloitte Forecast Input Esc'!$A9,FALSE)</f>
        <v>3.7</v>
      </c>
      <c r="AA28" s="102">
        <f>HLOOKUP("UK National Balancing Point",'[2]Deloitte Forecast Input Esc'!$2:$53,2+'[2]Deloitte Forecast Input Esc'!$A9,FALSE)</f>
        <v>6.2</v>
      </c>
      <c r="AB28" s="102">
        <f>HLOOKUP("Ethanol CBOT",'[2]Deloitte Forecast Input Esc'!$2:$53,2+'[2]Deloitte Forecast Input Esc'!$A9,FALSE)</f>
        <v>1.6500000000000001</v>
      </c>
    </row>
    <row r="29" spans="1:28" x14ac:dyDescent="0.2">
      <c r="A29" s="15" t="s">
        <v>53</v>
      </c>
      <c r="B29" s="18">
        <f t="shared" si="1"/>
        <v>2023</v>
      </c>
      <c r="C29" s="100">
        <f>HLOOKUP("British Pound",'[2]Deloitte Forecast Input Esc'!$2:$53,2+'[2]Deloitte Forecast Input Esc'!$A10,FALSE)</f>
        <v>1.25</v>
      </c>
      <c r="D29" s="39">
        <f>HLOOKUP("Euro",'[2]Deloitte Forecast Input Esc'!$2:$53,2+'[2]Deloitte Forecast Input Esc'!$A10,FALSE)</f>
        <v>1.05</v>
      </c>
      <c r="E29" s="17">
        <f>HLOOKUP("WTI",'[2]Deloitte Forecast Input Esc'!$2:$53,2+'[2]Deloitte Forecast Input Esc'!$A10,FALSE)</f>
        <v>84.45</v>
      </c>
      <c r="F29" s="17">
        <f>HLOOKUP("Alaskan North Slope",'[2]Deloitte Forecast Input Esc'!$2:$53,2+'[2]Deloitte Forecast Input Esc'!$A10,FALSE)</f>
        <v>74.349999999999994</v>
      </c>
      <c r="G29" s="17">
        <f>HLOOKUP("California Kern River",'[2]Deloitte Forecast Input Esc'!$2:$53,2+'[2]Deloitte Forecast Input Esc'!$A10,FALSE)</f>
        <v>78.849999999999994</v>
      </c>
      <c r="H29" s="17">
        <f>HLOOKUP("Louisiana Heavy Sweet",'[2]Deloitte Forecast Input Esc'!$2:$53,2+'[2]Deloitte Forecast Input Esc'!$A10,FALSE)</f>
        <v>81.649999999999991</v>
      </c>
      <c r="I29" s="17">
        <f>HLOOKUP("Louisiana Light Sweet",'[2]Deloitte Forecast Input Esc'!$2:$53,2+'[2]Deloitte Forecast Input Esc'!$A10,FALSE)</f>
        <v>82.2</v>
      </c>
      <c r="J29" s="17">
        <f>HLOOKUP("MARS Blend",'[2]Deloitte Forecast Input Esc'!$2:$53,2+'[2]Deloitte Forecast Input Esc'!$A10,FALSE)</f>
        <v>78.849999999999994</v>
      </c>
      <c r="K29" s="17">
        <f>HLOOKUP("Wyoming Sweet",'[2]Deloitte Forecast Input Esc'!$2:$53,2+'[2]Deloitte Forecast Input Esc'!$A10,FALSE)</f>
        <v>77.699999999999989</v>
      </c>
      <c r="L29" s="17">
        <f>HLOOKUP("Brent Spot",'[2]Deloitte Forecast Input Esc'!$2:$53,2+'[2]Deloitte Forecast Input Esc'!$A10,FALSE)</f>
        <v>85.600000000000009</v>
      </c>
      <c r="M29" s="17">
        <f>HLOOKUP("Gulf Coast Argus Sour Crude Index",'[2]Deloitte Forecast Input Esc'!$2:$53,2+'[2]Deloitte Forecast Input Esc'!$A10,FALSE)</f>
        <v>78.849999999999994</v>
      </c>
      <c r="N29" s="17">
        <f>HLOOKUP("Average OPEC Basket",'[2]Deloitte Forecast Input Esc'!$2:$53,2+'[2]Deloitte Forecast Input Esc'!$A10,FALSE)</f>
        <v>83.350000000000009</v>
      </c>
      <c r="O29" s="17">
        <f>HLOOKUP("Venezuelan Merey Crude",'[2]Deloitte Forecast Input Esc'!$2:$53,2+'[2]Deloitte Forecast Input Esc'!$A10,FALSE)</f>
        <v>75.45</v>
      </c>
      <c r="P29" s="17">
        <f>HLOOKUP("Nigerian Bonny Light",'[2]Deloitte Forecast Input Esc'!$2:$53,2+'[2]Deloitte Forecast Input Esc'!$A10,FALSE)</f>
        <v>86.050000000000011</v>
      </c>
      <c r="Q29" s="17">
        <f>HLOOKUP("Arabia UAE Dubai Feteh",'[2]Deloitte Forecast Input Esc'!$2:$53,2+'[2]Deloitte Forecast Input Esc'!$A10,FALSE)</f>
        <v>82.75</v>
      </c>
      <c r="R29" s="17">
        <f>HLOOKUP("Mexico Maya",'[2]Deloitte Forecast Input Esc'!$2:$53,2+'[2]Deloitte Forecast Input Esc'!$A10,FALSE)</f>
        <v>77.150000000000006</v>
      </c>
      <c r="S29" s="101">
        <f>HLOOKUP("Russia Urals",'[2]Deloitte Forecast Input Esc'!$2:$53,2+'[2]Deloitte Forecast Input Esc'!$A10,FALSE)</f>
        <v>83.9</v>
      </c>
      <c r="T29" s="102">
        <f>HLOOKUP("Indonesia Minas",'[2]Deloitte Forecast Input Esc'!$2:$53,2+'[2]Deloitte Forecast Input Esc'!$A10,FALSE)</f>
        <v>82.2</v>
      </c>
      <c r="U29" s="101">
        <f>HLOOKUP("NYMEX Henry Hub",'[2]Deloitte Forecast Input Esc'!$2:$53,2+'[2]Deloitte Forecast Input Esc'!$A10,FALSE)</f>
        <v>4.2</v>
      </c>
      <c r="V29" s="101">
        <f>HLOOKUP("Permian Waha",'[2]Deloitte Forecast Input Esc'!$2:$53,2+'[2]Deloitte Forecast Input Esc'!$A10,FALSE)</f>
        <v>4</v>
      </c>
      <c r="W29" s="101">
        <f>HLOOKUP("San Juan Ignacio",'[2]Deloitte Forecast Input Esc'!$2:$53,2+'[2]Deloitte Forecast Input Esc'!$A10,FALSE)</f>
        <v>4</v>
      </c>
      <c r="X29" s="101">
        <f>HLOOKUP("Gulf Coast (Onshore)",'[2]Deloitte Forecast Input Esc'!$2:$53,2+'[2]Deloitte Forecast Input Esc'!$A10,FALSE)</f>
        <v>4.0999999999999996</v>
      </c>
      <c r="Y29" s="101">
        <f>HLOOKUP("Louisiana East Texas",'[2]Deloitte Forecast Input Esc'!$2:$53,2+'[2]Deloitte Forecast Input Esc'!$A10,FALSE)</f>
        <v>4.0999999999999996</v>
      </c>
      <c r="Z29" s="101">
        <f>HLOOKUP("Rocky Mountain Opal",'[2]Deloitte Forecast Input Esc'!$2:$53,2+'[2]Deloitte Forecast Input Esc'!$A10,FALSE)</f>
        <v>3.95</v>
      </c>
      <c r="AA29" s="102">
        <f>HLOOKUP("UK National Balancing Point",'[2]Deloitte Forecast Input Esc'!$2:$53,2+'[2]Deloitte Forecast Input Esc'!$A10,FALSE)</f>
        <v>6.5</v>
      </c>
      <c r="AB29" s="102">
        <f>HLOOKUP("Ethanol CBOT",'[2]Deloitte Forecast Input Esc'!$2:$53,2+'[2]Deloitte Forecast Input Esc'!$A10,FALSE)</f>
        <v>1.7000000000000002</v>
      </c>
    </row>
    <row r="30" spans="1:28" x14ac:dyDescent="0.2">
      <c r="A30" s="15" t="s">
        <v>54</v>
      </c>
      <c r="B30" s="18">
        <f t="shared" si="1"/>
        <v>2024</v>
      </c>
      <c r="C30" s="100">
        <f>HLOOKUP("British Pound",'[2]Deloitte Forecast Input Esc'!$2:$53,2+'[2]Deloitte Forecast Input Esc'!$A11,FALSE)</f>
        <v>1.25</v>
      </c>
      <c r="D30" s="39">
        <f>HLOOKUP("Euro",'[2]Deloitte Forecast Input Esc'!$2:$53,2+'[2]Deloitte Forecast Input Esc'!$A11,FALSE)</f>
        <v>1.05</v>
      </c>
      <c r="E30" s="17">
        <f>HLOOKUP("WTI",'[2]Deloitte Forecast Input Esc'!$2:$53,2+'[2]Deloitte Forecast Input Esc'!$A11,FALSE)</f>
        <v>86.15</v>
      </c>
      <c r="F30" s="17">
        <f>HLOOKUP("Alaskan North Slope",'[2]Deloitte Forecast Input Esc'!$2:$53,2+'[2]Deloitte Forecast Input Esc'!$A11,FALSE)</f>
        <v>75.8</v>
      </c>
      <c r="G30" s="17">
        <f>HLOOKUP("California Kern River",'[2]Deloitte Forecast Input Esc'!$2:$53,2+'[2]Deloitte Forecast Input Esc'!$A11,FALSE)</f>
        <v>80.399999999999991</v>
      </c>
      <c r="H30" s="17">
        <f>HLOOKUP("Louisiana Heavy Sweet",'[2]Deloitte Forecast Input Esc'!$2:$53,2+'[2]Deloitte Forecast Input Esc'!$A11,FALSE)</f>
        <v>83.3</v>
      </c>
      <c r="I30" s="17">
        <f>HLOOKUP("Louisiana Light Sweet",'[2]Deloitte Forecast Input Esc'!$2:$53,2+'[2]Deloitte Forecast Input Esc'!$A11,FALSE)</f>
        <v>83.85</v>
      </c>
      <c r="J30" s="17">
        <f>HLOOKUP("MARS Blend",'[2]Deloitte Forecast Input Esc'!$2:$53,2+'[2]Deloitte Forecast Input Esc'!$A11,FALSE)</f>
        <v>80.399999999999991</v>
      </c>
      <c r="K30" s="17">
        <f>HLOOKUP("Wyoming Sweet",'[2]Deloitte Forecast Input Esc'!$2:$53,2+'[2]Deloitte Forecast Input Esc'!$A11,FALSE)</f>
        <v>79.25</v>
      </c>
      <c r="L30" s="17">
        <f>HLOOKUP("Brent Spot",'[2]Deloitte Forecast Input Esc'!$2:$53,2+'[2]Deloitte Forecast Input Esc'!$A11,FALSE)</f>
        <v>87.300000000000011</v>
      </c>
      <c r="M30" s="17">
        <f>HLOOKUP("Gulf Coast Argus Sour Crude Index",'[2]Deloitte Forecast Input Esc'!$2:$53,2+'[2]Deloitte Forecast Input Esc'!$A11,FALSE)</f>
        <v>80.399999999999991</v>
      </c>
      <c r="N30" s="17">
        <f>HLOOKUP("Average OPEC Basket",'[2]Deloitte Forecast Input Esc'!$2:$53,2+'[2]Deloitte Forecast Input Esc'!$A11,FALSE)</f>
        <v>85</v>
      </c>
      <c r="O30" s="17">
        <f>HLOOKUP("Venezuelan Merey Crude",'[2]Deloitte Forecast Input Esc'!$2:$53,2+'[2]Deloitte Forecast Input Esc'!$A11,FALSE)</f>
        <v>76.95</v>
      </c>
      <c r="P30" s="17">
        <f>HLOOKUP("Nigerian Bonny Light",'[2]Deloitte Forecast Input Esc'!$2:$53,2+'[2]Deloitte Forecast Input Esc'!$A11,FALSE)</f>
        <v>87.75</v>
      </c>
      <c r="Q30" s="17">
        <f>HLOOKUP("Arabia UAE Dubai Feteh",'[2]Deloitte Forecast Input Esc'!$2:$53,2+'[2]Deloitte Forecast Input Esc'!$A11,FALSE)</f>
        <v>84.45</v>
      </c>
      <c r="R30" s="17">
        <f>HLOOKUP("Mexico Maya",'[2]Deloitte Forecast Input Esc'!$2:$53,2+'[2]Deloitte Forecast Input Esc'!$A11,FALSE)</f>
        <v>78.7</v>
      </c>
      <c r="S30" s="101">
        <f>HLOOKUP("Russia Urals",'[2]Deloitte Forecast Input Esc'!$2:$53,2+'[2]Deloitte Forecast Input Esc'!$A11,FALSE)</f>
        <v>85.600000000000009</v>
      </c>
      <c r="T30" s="102">
        <f>HLOOKUP("Indonesia Minas",'[2]Deloitte Forecast Input Esc'!$2:$53,2+'[2]Deloitte Forecast Input Esc'!$A11,FALSE)</f>
        <v>83.85</v>
      </c>
      <c r="U30" s="101">
        <f>HLOOKUP("NYMEX Henry Hub",'[2]Deloitte Forecast Input Esc'!$2:$53,2+'[2]Deloitte Forecast Input Esc'!$A11,FALSE)</f>
        <v>4.5</v>
      </c>
      <c r="V30" s="101">
        <f>HLOOKUP("Permian Waha",'[2]Deloitte Forecast Input Esc'!$2:$53,2+'[2]Deloitte Forecast Input Esc'!$A11,FALSE)</f>
        <v>4.25</v>
      </c>
      <c r="W30" s="101">
        <f>HLOOKUP("San Juan Ignacio",'[2]Deloitte Forecast Input Esc'!$2:$53,2+'[2]Deloitte Forecast Input Esc'!$A11,FALSE)</f>
        <v>4.25</v>
      </c>
      <c r="X30" s="101">
        <f>HLOOKUP("Gulf Coast (Onshore)",'[2]Deloitte Forecast Input Esc'!$2:$53,2+'[2]Deloitte Forecast Input Esc'!$A11,FALSE)</f>
        <v>4.3499999999999996</v>
      </c>
      <c r="Y30" s="101">
        <f>HLOOKUP("Louisiana East Texas",'[2]Deloitte Forecast Input Esc'!$2:$53,2+'[2]Deloitte Forecast Input Esc'!$A11,FALSE)</f>
        <v>4.3499999999999996</v>
      </c>
      <c r="Z30" s="101">
        <f>HLOOKUP("Rocky Mountain Opal",'[2]Deloitte Forecast Input Esc'!$2:$53,2+'[2]Deloitte Forecast Input Esc'!$A11,FALSE)</f>
        <v>4.2</v>
      </c>
      <c r="AA30" s="102">
        <f>HLOOKUP("UK National Balancing Point",'[2]Deloitte Forecast Input Esc'!$2:$53,2+'[2]Deloitte Forecast Input Esc'!$A11,FALSE)</f>
        <v>6.8000000000000007</v>
      </c>
      <c r="AB30" s="102">
        <f>HLOOKUP("Ethanol CBOT",'[2]Deloitte Forecast Input Esc'!$2:$53,2+'[2]Deloitte Forecast Input Esc'!$A11,FALSE)</f>
        <v>1.7000000000000002</v>
      </c>
    </row>
    <row r="31" spans="1:28" x14ac:dyDescent="0.2">
      <c r="A31" s="11"/>
      <c r="B31" s="18">
        <f t="shared" si="1"/>
        <v>2025</v>
      </c>
      <c r="C31" s="100">
        <f>HLOOKUP("British Pound",'[2]Deloitte Forecast Input Esc'!$2:$53,2+'[2]Deloitte Forecast Input Esc'!$A12,FALSE)</f>
        <v>1.25</v>
      </c>
      <c r="D31" s="39">
        <f>HLOOKUP("Euro",'[2]Deloitte Forecast Input Esc'!$2:$53,2+'[2]Deloitte Forecast Input Esc'!$A12,FALSE)</f>
        <v>1.05</v>
      </c>
      <c r="E31" s="17">
        <f>HLOOKUP("WTI",'[2]Deloitte Forecast Input Esc'!$2:$53,2+'[2]Deloitte Forecast Input Esc'!$A12,FALSE)</f>
        <v>87.85</v>
      </c>
      <c r="F31" s="17">
        <f>HLOOKUP("Alaskan North Slope",'[2]Deloitte Forecast Input Esc'!$2:$53,2+'[2]Deloitte Forecast Input Esc'!$A12,FALSE)</f>
        <v>77.350000000000009</v>
      </c>
      <c r="G31" s="17">
        <f>HLOOKUP("California Kern River",'[2]Deloitte Forecast Input Esc'!$2:$53,2+'[2]Deloitte Forecast Input Esc'!$A12,FALSE)</f>
        <v>82</v>
      </c>
      <c r="H31" s="17">
        <f>HLOOKUP("Louisiana Heavy Sweet",'[2]Deloitte Forecast Input Esc'!$2:$53,2+'[2]Deloitte Forecast Input Esc'!$A12,FALSE)</f>
        <v>84.949999999999989</v>
      </c>
      <c r="I31" s="17">
        <f>HLOOKUP("Louisiana Light Sweet",'[2]Deloitte Forecast Input Esc'!$2:$53,2+'[2]Deloitte Forecast Input Esc'!$A12,FALSE)</f>
        <v>85.55</v>
      </c>
      <c r="J31" s="17">
        <f>HLOOKUP("MARS Blend",'[2]Deloitte Forecast Input Esc'!$2:$53,2+'[2]Deloitte Forecast Input Esc'!$A12,FALSE)</f>
        <v>82</v>
      </c>
      <c r="K31" s="17">
        <f>HLOOKUP("Wyoming Sweet",'[2]Deloitte Forecast Input Esc'!$2:$53,2+'[2]Deloitte Forecast Input Esc'!$A12,FALSE)</f>
        <v>80.850000000000009</v>
      </c>
      <c r="L31" s="17">
        <f>HLOOKUP("Brent Spot",'[2]Deloitte Forecast Input Esc'!$2:$53,2+'[2]Deloitte Forecast Input Esc'!$A12,FALSE)</f>
        <v>89.05</v>
      </c>
      <c r="M31" s="17">
        <f>HLOOKUP("Gulf Coast Argus Sour Crude Index",'[2]Deloitte Forecast Input Esc'!$2:$53,2+'[2]Deloitte Forecast Input Esc'!$A12,FALSE)</f>
        <v>82</v>
      </c>
      <c r="N31" s="17">
        <f>HLOOKUP("Average OPEC Basket",'[2]Deloitte Forecast Input Esc'!$2:$53,2+'[2]Deloitte Forecast Input Esc'!$A12,FALSE)</f>
        <v>86.7</v>
      </c>
      <c r="O31" s="17">
        <f>HLOOKUP("Venezuelan Merey Crude",'[2]Deloitte Forecast Input Esc'!$2:$53,2+'[2]Deloitte Forecast Input Esc'!$A12,FALSE)</f>
        <v>78.5</v>
      </c>
      <c r="P31" s="17">
        <f>HLOOKUP("Nigerian Bonny Light",'[2]Deloitte Forecast Input Esc'!$2:$53,2+'[2]Deloitte Forecast Input Esc'!$A12,FALSE)</f>
        <v>89.5</v>
      </c>
      <c r="Q31" s="17">
        <f>HLOOKUP("Arabia UAE Dubai Feteh",'[2]Deloitte Forecast Input Esc'!$2:$53,2+'[2]Deloitte Forecast Input Esc'!$A12,FALSE)</f>
        <v>86.1</v>
      </c>
      <c r="R31" s="17">
        <f>HLOOKUP("Mexico Maya",'[2]Deloitte Forecast Input Esc'!$2:$53,2+'[2]Deloitte Forecast Input Esc'!$A12,FALSE)</f>
        <v>80.25</v>
      </c>
      <c r="S31" s="101">
        <f>HLOOKUP("Russia Urals",'[2]Deloitte Forecast Input Esc'!$2:$53,2+'[2]Deloitte Forecast Input Esc'!$A12,FALSE)</f>
        <v>87.300000000000011</v>
      </c>
      <c r="T31" s="102">
        <f>HLOOKUP("Indonesia Minas",'[2]Deloitte Forecast Input Esc'!$2:$53,2+'[2]Deloitte Forecast Input Esc'!$A12,FALSE)</f>
        <v>85.55</v>
      </c>
      <c r="U31" s="101">
        <f>HLOOKUP("NYMEX Henry Hub",'[2]Deloitte Forecast Input Esc'!$2:$53,2+'[2]Deloitte Forecast Input Esc'!$A12,FALSE)</f>
        <v>4.6999999999999993</v>
      </c>
      <c r="V31" s="101">
        <f>HLOOKUP("Permian Waha",'[2]Deloitte Forecast Input Esc'!$2:$53,2+'[2]Deloitte Forecast Input Esc'!$A12,FALSE)</f>
        <v>4.45</v>
      </c>
      <c r="W31" s="101">
        <f>HLOOKUP("San Juan Ignacio",'[2]Deloitte Forecast Input Esc'!$2:$53,2+'[2]Deloitte Forecast Input Esc'!$A12,FALSE)</f>
        <v>4.45</v>
      </c>
      <c r="X31" s="101">
        <f>HLOOKUP("Gulf Coast (Onshore)",'[2]Deloitte Forecast Input Esc'!$2:$53,2+'[2]Deloitte Forecast Input Esc'!$A12,FALSE)</f>
        <v>4.55</v>
      </c>
      <c r="Y31" s="101">
        <f>HLOOKUP("Louisiana East Texas",'[2]Deloitte Forecast Input Esc'!$2:$53,2+'[2]Deloitte Forecast Input Esc'!$A12,FALSE)</f>
        <v>4.55</v>
      </c>
      <c r="Z31" s="101">
        <f>HLOOKUP("Rocky Mountain Opal",'[2]Deloitte Forecast Input Esc'!$2:$53,2+'[2]Deloitte Forecast Input Esc'!$A12,FALSE)</f>
        <v>4.4000000000000004</v>
      </c>
      <c r="AA31" s="102">
        <f>HLOOKUP("UK National Balancing Point",'[2]Deloitte Forecast Input Esc'!$2:$53,2+'[2]Deloitte Forecast Input Esc'!$A12,FALSE)</f>
        <v>7.05</v>
      </c>
      <c r="AB31" s="102">
        <f>HLOOKUP("Ethanol CBOT",'[2]Deloitte Forecast Input Esc'!$2:$53,2+'[2]Deloitte Forecast Input Esc'!$A12,FALSE)</f>
        <v>1.75</v>
      </c>
    </row>
    <row r="32" spans="1:28" x14ac:dyDescent="0.2">
      <c r="A32" s="11"/>
      <c r="B32" s="18">
        <f t="shared" si="1"/>
        <v>2026</v>
      </c>
      <c r="C32" s="100">
        <f>HLOOKUP("British Pound",'[2]Deloitte Forecast Input Esc'!$2:$53,2+'[2]Deloitte Forecast Input Esc'!$A13,FALSE)</f>
        <v>1.25</v>
      </c>
      <c r="D32" s="39">
        <f>HLOOKUP("Euro",'[2]Deloitte Forecast Input Esc'!$2:$53,2+'[2]Deloitte Forecast Input Esc'!$A13,FALSE)</f>
        <v>1.05</v>
      </c>
      <c r="E32" s="17">
        <f>HLOOKUP("WTI",'[2]Deloitte Forecast Input Esc'!$2:$53,2+'[2]Deloitte Forecast Input Esc'!$A13,FALSE)</f>
        <v>89.65</v>
      </c>
      <c r="F32" s="17">
        <f>HLOOKUP("Alaskan North Slope",'[2]Deloitte Forecast Input Esc'!$2:$53,2+'[2]Deloitte Forecast Input Esc'!$A13,FALSE)</f>
        <v>78.899999999999991</v>
      </c>
      <c r="G32" s="17">
        <f>HLOOKUP("California Kern River",'[2]Deloitte Forecast Input Esc'!$2:$53,2+'[2]Deloitte Forecast Input Esc'!$A13,FALSE)</f>
        <v>83.65</v>
      </c>
      <c r="H32" s="17">
        <f>HLOOKUP("Louisiana Heavy Sweet",'[2]Deloitte Forecast Input Esc'!$2:$53,2+'[2]Deloitte Forecast Input Esc'!$A13,FALSE)</f>
        <v>86.649999999999991</v>
      </c>
      <c r="I32" s="17">
        <f>HLOOKUP("Louisiana Light Sweet",'[2]Deloitte Forecast Input Esc'!$2:$53,2+'[2]Deloitte Forecast Input Esc'!$A13,FALSE)</f>
        <v>87.25</v>
      </c>
      <c r="J32" s="17">
        <f>HLOOKUP("MARS Blend",'[2]Deloitte Forecast Input Esc'!$2:$53,2+'[2]Deloitte Forecast Input Esc'!$A13,FALSE)</f>
        <v>83.65</v>
      </c>
      <c r="K32" s="17">
        <f>HLOOKUP("Wyoming Sweet",'[2]Deloitte Forecast Input Esc'!$2:$53,2+'[2]Deloitte Forecast Input Esc'!$A13,FALSE)</f>
        <v>82.449999999999989</v>
      </c>
      <c r="L32" s="17">
        <f>HLOOKUP("Brent Spot",'[2]Deloitte Forecast Input Esc'!$2:$53,2+'[2]Deloitte Forecast Input Esc'!$A13,FALSE)</f>
        <v>90.850000000000009</v>
      </c>
      <c r="M32" s="17">
        <f>HLOOKUP("Gulf Coast Argus Sour Crude Index",'[2]Deloitte Forecast Input Esc'!$2:$53,2+'[2]Deloitte Forecast Input Esc'!$A13,FALSE)</f>
        <v>83.65</v>
      </c>
      <c r="N32" s="17">
        <f>HLOOKUP("Average OPEC Basket",'[2]Deloitte Forecast Input Esc'!$2:$53,2+'[2]Deloitte Forecast Input Esc'!$A13,FALSE)</f>
        <v>88.45</v>
      </c>
      <c r="O32" s="17">
        <f>HLOOKUP("Venezuelan Merey Crude",'[2]Deloitte Forecast Input Esc'!$2:$53,2+'[2]Deloitte Forecast Input Esc'!$A13,FALSE)</f>
        <v>80.050000000000011</v>
      </c>
      <c r="P32" s="17">
        <f>HLOOKUP("Nigerian Bonny Light",'[2]Deloitte Forecast Input Esc'!$2:$53,2+'[2]Deloitte Forecast Input Esc'!$A13,FALSE)</f>
        <v>91.300000000000011</v>
      </c>
      <c r="Q32" s="17">
        <f>HLOOKUP("Arabia UAE Dubai Feteh",'[2]Deloitte Forecast Input Esc'!$2:$53,2+'[2]Deloitte Forecast Input Esc'!$A13,FALSE)</f>
        <v>87.85</v>
      </c>
      <c r="R32" s="17">
        <f>HLOOKUP("Mexico Maya",'[2]Deloitte Forecast Input Esc'!$2:$53,2+'[2]Deloitte Forecast Input Esc'!$A13,FALSE)</f>
        <v>81.850000000000009</v>
      </c>
      <c r="S32" s="101">
        <f>HLOOKUP("Russia Urals",'[2]Deloitte Forecast Input Esc'!$2:$53,2+'[2]Deloitte Forecast Input Esc'!$A13,FALSE)</f>
        <v>89.05</v>
      </c>
      <c r="T32" s="102">
        <f>HLOOKUP("Indonesia Minas",'[2]Deloitte Forecast Input Esc'!$2:$53,2+'[2]Deloitte Forecast Input Esc'!$A13,FALSE)</f>
        <v>87.25</v>
      </c>
      <c r="U32" s="101">
        <f>HLOOKUP("NYMEX Henry Hub",'[2]Deloitte Forecast Input Esc'!$2:$53,2+'[2]Deloitte Forecast Input Esc'!$A13,FALSE)</f>
        <v>4.8499999999999996</v>
      </c>
      <c r="V32" s="101">
        <f>HLOOKUP("Permian Waha",'[2]Deloitte Forecast Input Esc'!$2:$53,2+'[2]Deloitte Forecast Input Esc'!$A13,FALSE)</f>
        <v>4.6000000000000005</v>
      </c>
      <c r="W32" s="101">
        <f>HLOOKUP("San Juan Ignacio",'[2]Deloitte Forecast Input Esc'!$2:$53,2+'[2]Deloitte Forecast Input Esc'!$A13,FALSE)</f>
        <v>4.6000000000000005</v>
      </c>
      <c r="X32" s="101">
        <f>HLOOKUP("Gulf Coast (Onshore)",'[2]Deloitte Forecast Input Esc'!$2:$53,2+'[2]Deloitte Forecast Input Esc'!$A13,FALSE)</f>
        <v>4.6999999999999993</v>
      </c>
      <c r="Y32" s="101">
        <f>HLOOKUP("Louisiana East Texas",'[2]Deloitte Forecast Input Esc'!$2:$53,2+'[2]Deloitte Forecast Input Esc'!$A13,FALSE)</f>
        <v>4.6999999999999993</v>
      </c>
      <c r="Z32" s="101">
        <f>HLOOKUP("Rocky Mountain Opal",'[2]Deloitte Forecast Input Esc'!$2:$53,2+'[2]Deloitte Forecast Input Esc'!$A13,FALSE)</f>
        <v>4.55</v>
      </c>
      <c r="AA32" s="102">
        <f>HLOOKUP("UK National Balancing Point",'[2]Deloitte Forecast Input Esc'!$2:$53,2+'[2]Deloitte Forecast Input Esc'!$A13,FALSE)</f>
        <v>7.25</v>
      </c>
      <c r="AB32" s="102">
        <f>HLOOKUP("Ethanol CBOT",'[2]Deloitte Forecast Input Esc'!$2:$53,2+'[2]Deloitte Forecast Input Esc'!$A13,FALSE)</f>
        <v>1.7999999999999998</v>
      </c>
    </row>
    <row r="33" spans="1:28" x14ac:dyDescent="0.2">
      <c r="A33" s="11"/>
      <c r="B33" s="18">
        <f t="shared" si="1"/>
        <v>2027</v>
      </c>
      <c r="C33" s="100">
        <f>HLOOKUP("British Pound",'[2]Deloitte Forecast Input Esc'!$2:$53,2+'[2]Deloitte Forecast Input Esc'!$A14,FALSE)</f>
        <v>1.25</v>
      </c>
      <c r="D33" s="39">
        <f>HLOOKUP("Euro",'[2]Deloitte Forecast Input Esc'!$2:$53,2+'[2]Deloitte Forecast Input Esc'!$A14,FALSE)</f>
        <v>1.05</v>
      </c>
      <c r="E33" s="17">
        <f>HLOOKUP("WTI",'[2]Deloitte Forecast Input Esc'!$2:$53,2+'[2]Deloitte Forecast Input Esc'!$A14,FALSE)</f>
        <v>91.4</v>
      </c>
      <c r="F33" s="17">
        <f>HLOOKUP("Alaskan North Slope",'[2]Deloitte Forecast Input Esc'!$2:$53,2+'[2]Deloitte Forecast Input Esc'!$A14,FALSE)</f>
        <v>80.45</v>
      </c>
      <c r="G33" s="17">
        <f>HLOOKUP("California Kern River",'[2]Deloitte Forecast Input Esc'!$2:$53,2+'[2]Deloitte Forecast Input Esc'!$A14,FALSE)</f>
        <v>85.35</v>
      </c>
      <c r="H33" s="17">
        <f>HLOOKUP("Louisiana Heavy Sweet",'[2]Deloitte Forecast Input Esc'!$2:$53,2+'[2]Deloitte Forecast Input Esc'!$A14,FALSE)</f>
        <v>88.4</v>
      </c>
      <c r="I33" s="17">
        <f>HLOOKUP("Louisiana Light Sweet",'[2]Deloitte Forecast Input Esc'!$2:$53,2+'[2]Deloitte Forecast Input Esc'!$A14,FALSE)</f>
        <v>89</v>
      </c>
      <c r="J33" s="17">
        <f>HLOOKUP("MARS Blend",'[2]Deloitte Forecast Input Esc'!$2:$53,2+'[2]Deloitte Forecast Input Esc'!$A14,FALSE)</f>
        <v>85.35</v>
      </c>
      <c r="K33" s="17">
        <f>HLOOKUP("Wyoming Sweet",'[2]Deloitte Forecast Input Esc'!$2:$53,2+'[2]Deloitte Forecast Input Esc'!$A14,FALSE)</f>
        <v>84.1</v>
      </c>
      <c r="L33" s="17">
        <f>HLOOKUP("Brent Spot",'[2]Deloitte Forecast Input Esc'!$2:$53,2+'[2]Deloitte Forecast Input Esc'!$A14,FALSE)</f>
        <v>92.65</v>
      </c>
      <c r="M33" s="17">
        <f>HLOOKUP("Gulf Coast Argus Sour Crude Index",'[2]Deloitte Forecast Input Esc'!$2:$53,2+'[2]Deloitte Forecast Input Esc'!$A14,FALSE)</f>
        <v>85.35</v>
      </c>
      <c r="N33" s="17">
        <f>HLOOKUP("Average OPEC Basket",'[2]Deloitte Forecast Input Esc'!$2:$53,2+'[2]Deloitte Forecast Input Esc'!$A14,FALSE)</f>
        <v>90.199999999999989</v>
      </c>
      <c r="O33" s="17">
        <f>HLOOKUP("Venezuelan Merey Crude",'[2]Deloitte Forecast Input Esc'!$2:$53,2+'[2]Deloitte Forecast Input Esc'!$A14,FALSE)</f>
        <v>81.649999999999991</v>
      </c>
      <c r="P33" s="17">
        <f>HLOOKUP("Nigerian Bonny Light",'[2]Deloitte Forecast Input Esc'!$2:$53,2+'[2]Deloitte Forecast Input Esc'!$A14,FALSE)</f>
        <v>93.149999999999991</v>
      </c>
      <c r="Q33" s="17">
        <f>HLOOKUP("Arabia UAE Dubai Feteh",'[2]Deloitte Forecast Input Esc'!$2:$53,2+'[2]Deloitte Forecast Input Esc'!$A14,FALSE)</f>
        <v>89.600000000000009</v>
      </c>
      <c r="R33" s="17">
        <f>HLOOKUP("Mexico Maya",'[2]Deloitte Forecast Input Esc'!$2:$53,2+'[2]Deloitte Forecast Input Esc'!$A14,FALSE)</f>
        <v>83.5</v>
      </c>
      <c r="S33" s="101">
        <f>HLOOKUP("Russia Urals",'[2]Deloitte Forecast Input Esc'!$2:$53,2+'[2]Deloitte Forecast Input Esc'!$A14,FALSE)</f>
        <v>90.8</v>
      </c>
      <c r="T33" s="102">
        <f>HLOOKUP("Indonesia Minas",'[2]Deloitte Forecast Input Esc'!$2:$53,2+'[2]Deloitte Forecast Input Esc'!$A14,FALSE)</f>
        <v>89</v>
      </c>
      <c r="U33" s="101">
        <f>HLOOKUP("NYMEX Henry Hub",'[2]Deloitte Forecast Input Esc'!$2:$53,2+'[2]Deloitte Forecast Input Esc'!$A14,FALSE)</f>
        <v>5</v>
      </c>
      <c r="V33" s="101">
        <f>HLOOKUP("Permian Waha",'[2]Deloitte Forecast Input Esc'!$2:$53,2+'[2]Deloitte Forecast Input Esc'!$A14,FALSE)</f>
        <v>4.75</v>
      </c>
      <c r="W33" s="101">
        <f>HLOOKUP("San Juan Ignacio",'[2]Deloitte Forecast Input Esc'!$2:$53,2+'[2]Deloitte Forecast Input Esc'!$A14,FALSE)</f>
        <v>4.75</v>
      </c>
      <c r="X33" s="101">
        <f>HLOOKUP("Gulf Coast (Onshore)",'[2]Deloitte Forecast Input Esc'!$2:$53,2+'[2]Deloitte Forecast Input Esc'!$A14,FALSE)</f>
        <v>4.9000000000000004</v>
      </c>
      <c r="Y33" s="101">
        <f>HLOOKUP("Louisiana East Texas",'[2]Deloitte Forecast Input Esc'!$2:$53,2+'[2]Deloitte Forecast Input Esc'!$A14,FALSE)</f>
        <v>4.9000000000000004</v>
      </c>
      <c r="Z33" s="101">
        <f>HLOOKUP("Rocky Mountain Opal",'[2]Deloitte Forecast Input Esc'!$2:$53,2+'[2]Deloitte Forecast Input Esc'!$A14,FALSE)</f>
        <v>4.6999999999999993</v>
      </c>
      <c r="AA33" s="102">
        <f>HLOOKUP("UK National Balancing Point",'[2]Deloitte Forecast Input Esc'!$2:$53,2+'[2]Deloitte Forecast Input Esc'!$A14,FALSE)</f>
        <v>7.45</v>
      </c>
      <c r="AB33" s="102">
        <f>HLOOKUP("Ethanol CBOT",'[2]Deloitte Forecast Input Esc'!$2:$53,2+'[2]Deloitte Forecast Input Esc'!$A14,FALSE)</f>
        <v>1.85</v>
      </c>
    </row>
    <row r="34" spans="1:28" x14ac:dyDescent="0.2">
      <c r="A34" s="11"/>
      <c r="B34" s="18">
        <f t="shared" si="1"/>
        <v>2028</v>
      </c>
      <c r="C34" s="100">
        <f>HLOOKUP("British Pound",'[2]Deloitte Forecast Input Esc'!$2:$53,2+'[2]Deloitte Forecast Input Esc'!$A15,FALSE)</f>
        <v>1.25</v>
      </c>
      <c r="D34" s="39">
        <f>HLOOKUP("Euro",'[2]Deloitte Forecast Input Esc'!$2:$53,2+'[2]Deloitte Forecast Input Esc'!$A15,FALSE)</f>
        <v>1.05</v>
      </c>
      <c r="E34" s="17">
        <f>HLOOKUP("WTI",'[2]Deloitte Forecast Input Esc'!$2:$53,2+'[2]Deloitte Forecast Input Esc'!$A15,FALSE)</f>
        <v>93.25</v>
      </c>
      <c r="F34" s="17">
        <f>HLOOKUP("Alaskan North Slope",'[2]Deloitte Forecast Input Esc'!$2:$53,2+'[2]Deloitte Forecast Input Esc'!$A15,FALSE)</f>
        <v>82.05</v>
      </c>
      <c r="G34" s="17">
        <f>HLOOKUP("California Kern River",'[2]Deloitte Forecast Input Esc'!$2:$53,2+'[2]Deloitte Forecast Input Esc'!$A15,FALSE)</f>
        <v>87.05</v>
      </c>
      <c r="H34" s="17">
        <f>HLOOKUP("Louisiana Heavy Sweet",'[2]Deloitte Forecast Input Esc'!$2:$53,2+'[2]Deloitte Forecast Input Esc'!$A15,FALSE)</f>
        <v>90.15</v>
      </c>
      <c r="I34" s="17">
        <f>HLOOKUP("Louisiana Light Sweet",'[2]Deloitte Forecast Input Esc'!$2:$53,2+'[2]Deloitte Forecast Input Esc'!$A15,FALSE)</f>
        <v>90.75</v>
      </c>
      <c r="J34" s="17">
        <f>HLOOKUP("MARS Blend",'[2]Deloitte Forecast Input Esc'!$2:$53,2+'[2]Deloitte Forecast Input Esc'!$A15,FALSE)</f>
        <v>87.05</v>
      </c>
      <c r="K34" s="17">
        <f>HLOOKUP("Wyoming Sweet",'[2]Deloitte Forecast Input Esc'!$2:$53,2+'[2]Deloitte Forecast Input Esc'!$A15,FALSE)</f>
        <v>85.8</v>
      </c>
      <c r="L34" s="17">
        <f>HLOOKUP("Brent Spot",'[2]Deloitte Forecast Input Esc'!$2:$53,2+'[2]Deloitte Forecast Input Esc'!$A15,FALSE)</f>
        <v>94.5</v>
      </c>
      <c r="M34" s="17">
        <f>HLOOKUP("Gulf Coast Argus Sour Crude Index",'[2]Deloitte Forecast Input Esc'!$2:$53,2+'[2]Deloitte Forecast Input Esc'!$A15,FALSE)</f>
        <v>87.05</v>
      </c>
      <c r="N34" s="17">
        <f>HLOOKUP("Average OPEC Basket",'[2]Deloitte Forecast Input Esc'!$2:$53,2+'[2]Deloitte Forecast Input Esc'!$A15,FALSE)</f>
        <v>92</v>
      </c>
      <c r="O34" s="17">
        <f>HLOOKUP("Venezuelan Merey Crude",'[2]Deloitte Forecast Input Esc'!$2:$53,2+'[2]Deloitte Forecast Input Esc'!$A15,FALSE)</f>
        <v>83.3</v>
      </c>
      <c r="P34" s="17">
        <f>HLOOKUP("Nigerian Bonny Light",'[2]Deloitte Forecast Input Esc'!$2:$53,2+'[2]Deloitte Forecast Input Esc'!$A15,FALSE)</f>
        <v>95</v>
      </c>
      <c r="Q34" s="17">
        <f>HLOOKUP("Arabia UAE Dubai Feteh",'[2]Deloitte Forecast Input Esc'!$2:$53,2+'[2]Deloitte Forecast Input Esc'!$A15,FALSE)</f>
        <v>91.4</v>
      </c>
      <c r="R34" s="17">
        <f>HLOOKUP("Mexico Maya",'[2]Deloitte Forecast Input Esc'!$2:$53,2+'[2]Deloitte Forecast Input Esc'!$A15,FALSE)</f>
        <v>85.15</v>
      </c>
      <c r="S34" s="101">
        <f>HLOOKUP("Russia Urals",'[2]Deloitte Forecast Input Esc'!$2:$53,2+'[2]Deloitte Forecast Input Esc'!$A15,FALSE)</f>
        <v>92.65</v>
      </c>
      <c r="T34" s="102">
        <f>HLOOKUP("Indonesia Minas",'[2]Deloitte Forecast Input Esc'!$2:$53,2+'[2]Deloitte Forecast Input Esc'!$A15,FALSE)</f>
        <v>90.75</v>
      </c>
      <c r="U34" s="101">
        <f>HLOOKUP("NYMEX Henry Hub",'[2]Deloitte Forecast Input Esc'!$2:$53,2+'[2]Deloitte Forecast Input Esc'!$A15,FALSE)</f>
        <v>5.0999999999999996</v>
      </c>
      <c r="V34" s="101">
        <f>HLOOKUP("Permian Waha",'[2]Deloitte Forecast Input Esc'!$2:$53,2+'[2]Deloitte Forecast Input Esc'!$A15,FALSE)</f>
        <v>4.8499999999999996</v>
      </c>
      <c r="W34" s="101">
        <f>HLOOKUP("San Juan Ignacio",'[2]Deloitte Forecast Input Esc'!$2:$53,2+'[2]Deloitte Forecast Input Esc'!$A15,FALSE)</f>
        <v>4.8499999999999996</v>
      </c>
      <c r="X34" s="101">
        <f>HLOOKUP("Gulf Coast (Onshore)",'[2]Deloitte Forecast Input Esc'!$2:$53,2+'[2]Deloitte Forecast Input Esc'!$A15,FALSE)</f>
        <v>4.95</v>
      </c>
      <c r="Y34" s="101">
        <f>HLOOKUP("Louisiana East Texas",'[2]Deloitte Forecast Input Esc'!$2:$53,2+'[2]Deloitte Forecast Input Esc'!$A15,FALSE)</f>
        <v>4.95</v>
      </c>
      <c r="Z34" s="101">
        <f>HLOOKUP("Rocky Mountain Opal",'[2]Deloitte Forecast Input Esc'!$2:$53,2+'[2]Deloitte Forecast Input Esc'!$A15,FALSE)</f>
        <v>4.8</v>
      </c>
      <c r="AA34" s="102">
        <f>HLOOKUP("UK National Balancing Point",'[2]Deloitte Forecast Input Esc'!$2:$53,2+'[2]Deloitte Forecast Input Esc'!$A15,FALSE)</f>
        <v>7.6</v>
      </c>
      <c r="AB34" s="102">
        <f>HLOOKUP("Ethanol CBOT",'[2]Deloitte Forecast Input Esc'!$2:$53,2+'[2]Deloitte Forecast Input Esc'!$A15,FALSE)</f>
        <v>1.85</v>
      </c>
    </row>
    <row r="35" spans="1:28" x14ac:dyDescent="0.2">
      <c r="A35" s="11"/>
      <c r="B35" s="18">
        <f t="shared" si="1"/>
        <v>2029</v>
      </c>
      <c r="C35" s="100">
        <f>HLOOKUP("British Pound",'[2]Deloitte Forecast Input Esc'!$2:$53,2+'[2]Deloitte Forecast Input Esc'!$A16,FALSE)</f>
        <v>1.25</v>
      </c>
      <c r="D35" s="39">
        <f>HLOOKUP("Euro",'[2]Deloitte Forecast Input Esc'!$2:$53,2+'[2]Deloitte Forecast Input Esc'!$A16,FALSE)</f>
        <v>1.05</v>
      </c>
      <c r="E35" s="17">
        <f>HLOOKUP("WTI",'[2]Deloitte Forecast Input Esc'!$2:$53,2+'[2]Deloitte Forecast Input Esc'!$A16,FALSE)</f>
        <v>95.1</v>
      </c>
      <c r="F35" s="17">
        <f>HLOOKUP("Alaskan North Slope",'[2]Deloitte Forecast Input Esc'!$2:$53,2+'[2]Deloitte Forecast Input Esc'!$A16,FALSE)</f>
        <v>83.699999999999989</v>
      </c>
      <c r="G35" s="17">
        <f>HLOOKUP("California Kern River",'[2]Deloitte Forecast Input Esc'!$2:$53,2+'[2]Deloitte Forecast Input Esc'!$A16,FALSE)</f>
        <v>88.800000000000011</v>
      </c>
      <c r="H35" s="17">
        <f>HLOOKUP("Louisiana Heavy Sweet",'[2]Deloitte Forecast Input Esc'!$2:$53,2+'[2]Deloitte Forecast Input Esc'!$A16,FALSE)</f>
        <v>91.95</v>
      </c>
      <c r="I35" s="17">
        <f>HLOOKUP("Louisiana Light Sweet",'[2]Deloitte Forecast Input Esc'!$2:$53,2+'[2]Deloitte Forecast Input Esc'!$A16,FALSE)</f>
        <v>92.6</v>
      </c>
      <c r="J35" s="17">
        <f>HLOOKUP("MARS Blend",'[2]Deloitte Forecast Input Esc'!$2:$53,2+'[2]Deloitte Forecast Input Esc'!$A16,FALSE)</f>
        <v>88.800000000000011</v>
      </c>
      <c r="K35" s="17">
        <f>HLOOKUP("Wyoming Sweet",'[2]Deloitte Forecast Input Esc'!$2:$53,2+'[2]Deloitte Forecast Input Esc'!$A16,FALSE)</f>
        <v>87.5</v>
      </c>
      <c r="L35" s="17">
        <f>HLOOKUP("Brent Spot",'[2]Deloitte Forecast Input Esc'!$2:$53,2+'[2]Deloitte Forecast Input Esc'!$A16,FALSE)</f>
        <v>96.4</v>
      </c>
      <c r="M35" s="17">
        <f>HLOOKUP("Gulf Coast Argus Sour Crude Index",'[2]Deloitte Forecast Input Esc'!$2:$53,2+'[2]Deloitte Forecast Input Esc'!$A16,FALSE)</f>
        <v>88.800000000000011</v>
      </c>
      <c r="N35" s="17">
        <f>HLOOKUP("Average OPEC Basket",'[2]Deloitte Forecast Input Esc'!$2:$53,2+'[2]Deloitte Forecast Input Esc'!$A16,FALSE)</f>
        <v>93.85</v>
      </c>
      <c r="O35" s="17">
        <f>HLOOKUP("Venezuelan Merey Crude",'[2]Deloitte Forecast Input Esc'!$2:$53,2+'[2]Deloitte Forecast Input Esc'!$A16,FALSE)</f>
        <v>84.949999999999989</v>
      </c>
      <c r="P35" s="17">
        <f>HLOOKUP("Nigerian Bonny Light",'[2]Deloitte Forecast Input Esc'!$2:$53,2+'[2]Deloitte Forecast Input Esc'!$A16,FALSE)</f>
        <v>96.899999999999991</v>
      </c>
      <c r="Q35" s="17">
        <f>HLOOKUP("Arabia UAE Dubai Feteh",'[2]Deloitte Forecast Input Esc'!$2:$53,2+'[2]Deloitte Forecast Input Esc'!$A16,FALSE)</f>
        <v>93.2</v>
      </c>
      <c r="R35" s="17">
        <f>HLOOKUP("Mexico Maya",'[2]Deloitte Forecast Input Esc'!$2:$53,2+'[2]Deloitte Forecast Input Esc'!$A16,FALSE)</f>
        <v>86.850000000000009</v>
      </c>
      <c r="S35" s="101">
        <f>HLOOKUP("Russia Urals",'[2]Deloitte Forecast Input Esc'!$2:$53,2+'[2]Deloitte Forecast Input Esc'!$A16,FALSE)</f>
        <v>94.5</v>
      </c>
      <c r="T35" s="102">
        <f>HLOOKUP("Indonesia Minas",'[2]Deloitte Forecast Input Esc'!$2:$53,2+'[2]Deloitte Forecast Input Esc'!$A16,FALSE)</f>
        <v>92.6</v>
      </c>
      <c r="U35" s="101">
        <f>HLOOKUP("NYMEX Henry Hub",'[2]Deloitte Forecast Input Esc'!$2:$53,2+'[2]Deloitte Forecast Input Esc'!$A16,FALSE)</f>
        <v>5.2</v>
      </c>
      <c r="V35" s="101">
        <f>HLOOKUP("Permian Waha",'[2]Deloitte Forecast Input Esc'!$2:$53,2+'[2]Deloitte Forecast Input Esc'!$A16,FALSE)</f>
        <v>4.95</v>
      </c>
      <c r="W35" s="101">
        <f>HLOOKUP("San Juan Ignacio",'[2]Deloitte Forecast Input Esc'!$2:$53,2+'[2]Deloitte Forecast Input Esc'!$A16,FALSE)</f>
        <v>4.95</v>
      </c>
      <c r="X35" s="101">
        <f>HLOOKUP("Gulf Coast (Onshore)",'[2]Deloitte Forecast Input Esc'!$2:$53,2+'[2]Deloitte Forecast Input Esc'!$A16,FALSE)</f>
        <v>5.05</v>
      </c>
      <c r="Y35" s="101">
        <f>HLOOKUP("Louisiana East Texas",'[2]Deloitte Forecast Input Esc'!$2:$53,2+'[2]Deloitte Forecast Input Esc'!$A16,FALSE)</f>
        <v>5.05</v>
      </c>
      <c r="Z35" s="101">
        <f>HLOOKUP("Rocky Mountain Opal",'[2]Deloitte Forecast Input Esc'!$2:$53,2+'[2]Deloitte Forecast Input Esc'!$A16,FALSE)</f>
        <v>4.9000000000000004</v>
      </c>
      <c r="AA35" s="102">
        <f>HLOOKUP("UK National Balancing Point",'[2]Deloitte Forecast Input Esc'!$2:$53,2+'[2]Deloitte Forecast Input Esc'!$A16,FALSE)</f>
        <v>7.75</v>
      </c>
      <c r="AB35" s="102">
        <f>HLOOKUP("Ethanol CBOT",'[2]Deloitte Forecast Input Esc'!$2:$53,2+'[2]Deloitte Forecast Input Esc'!$A16,FALSE)</f>
        <v>1.9</v>
      </c>
    </row>
    <row r="36" spans="1:28" x14ac:dyDescent="0.2">
      <c r="A36" s="15"/>
      <c r="B36" s="18">
        <f t="shared" si="1"/>
        <v>2030</v>
      </c>
      <c r="C36" s="100">
        <f>HLOOKUP("British Pound",'[2]Deloitte Forecast Input Esc'!$2:$53,2+'[2]Deloitte Forecast Input Esc'!$A17,FALSE)</f>
        <v>1.25</v>
      </c>
      <c r="D36" s="39">
        <f>HLOOKUP("Euro",'[2]Deloitte Forecast Input Esc'!$2:$53,2+'[2]Deloitte Forecast Input Esc'!$A17,FALSE)</f>
        <v>1.05</v>
      </c>
      <c r="E36" s="17">
        <f>HLOOKUP("WTI",'[2]Deloitte Forecast Input Esc'!$2:$53,2+'[2]Deloitte Forecast Input Esc'!$A17,FALSE)</f>
        <v>97</v>
      </c>
      <c r="F36" s="17">
        <f>HLOOKUP("Alaskan North Slope",'[2]Deloitte Forecast Input Esc'!$2:$53,2+'[2]Deloitte Forecast Input Esc'!$A17,FALSE)</f>
        <v>85.399999999999991</v>
      </c>
      <c r="G36" s="17">
        <f>HLOOKUP("California Kern River",'[2]Deloitte Forecast Input Esc'!$2:$53,2+'[2]Deloitte Forecast Input Esc'!$A17,FALSE)</f>
        <v>90.55</v>
      </c>
      <c r="H36" s="17">
        <f>HLOOKUP("Louisiana Heavy Sweet",'[2]Deloitte Forecast Input Esc'!$2:$53,2+'[2]Deloitte Forecast Input Esc'!$A17,FALSE)</f>
        <v>93.800000000000011</v>
      </c>
      <c r="I36" s="17">
        <f>HLOOKUP("Louisiana Light Sweet",'[2]Deloitte Forecast Input Esc'!$2:$53,2+'[2]Deloitte Forecast Input Esc'!$A17,FALSE)</f>
        <v>94.45</v>
      </c>
      <c r="J36" s="17">
        <f>HLOOKUP("MARS Blend",'[2]Deloitte Forecast Input Esc'!$2:$53,2+'[2]Deloitte Forecast Input Esc'!$A17,FALSE)</f>
        <v>90.55</v>
      </c>
      <c r="K36" s="17">
        <f>HLOOKUP("Wyoming Sweet",'[2]Deloitte Forecast Input Esc'!$2:$53,2+'[2]Deloitte Forecast Input Esc'!$A17,FALSE)</f>
        <v>89.25</v>
      </c>
      <c r="L36" s="17">
        <f>HLOOKUP("Brent Spot",'[2]Deloitte Forecast Input Esc'!$2:$53,2+'[2]Deloitte Forecast Input Esc'!$A17,FALSE)</f>
        <v>98.3</v>
      </c>
      <c r="M36" s="17">
        <f>HLOOKUP("Gulf Coast Argus Sour Crude Index",'[2]Deloitte Forecast Input Esc'!$2:$53,2+'[2]Deloitte Forecast Input Esc'!$A17,FALSE)</f>
        <v>90.55</v>
      </c>
      <c r="N36" s="17">
        <f>HLOOKUP("Average OPEC Basket",'[2]Deloitte Forecast Input Esc'!$2:$53,2+'[2]Deloitte Forecast Input Esc'!$A17,FALSE)</f>
        <v>95.75</v>
      </c>
      <c r="O36" s="17">
        <f>HLOOKUP("Venezuelan Merey Crude",'[2]Deloitte Forecast Input Esc'!$2:$53,2+'[2]Deloitte Forecast Input Esc'!$A17,FALSE)</f>
        <v>86.649999999999991</v>
      </c>
      <c r="P36" s="17">
        <f>HLOOKUP("Nigerian Bonny Light",'[2]Deloitte Forecast Input Esc'!$2:$53,2+'[2]Deloitte Forecast Input Esc'!$A17,FALSE)</f>
        <v>98.85</v>
      </c>
      <c r="Q36" s="17">
        <f>HLOOKUP("Arabia UAE Dubai Feteh",'[2]Deloitte Forecast Input Esc'!$2:$53,2+'[2]Deloitte Forecast Input Esc'!$A17,FALSE)</f>
        <v>95.1</v>
      </c>
      <c r="R36" s="17">
        <f>HLOOKUP("Mexico Maya",'[2]Deloitte Forecast Input Esc'!$2:$53,2+'[2]Deloitte Forecast Input Esc'!$A17,FALSE)</f>
        <v>88.6</v>
      </c>
      <c r="S36" s="101">
        <f>HLOOKUP("Russia Urals",'[2]Deloitte Forecast Input Esc'!$2:$53,2+'[2]Deloitte Forecast Input Esc'!$A17,FALSE)</f>
        <v>96.35</v>
      </c>
      <c r="T36" s="102">
        <f>HLOOKUP("Indonesia Minas",'[2]Deloitte Forecast Input Esc'!$2:$53,2+'[2]Deloitte Forecast Input Esc'!$A17,FALSE)</f>
        <v>94.45</v>
      </c>
      <c r="U36" s="101">
        <f>HLOOKUP("NYMEX Henry Hub",'[2]Deloitte Forecast Input Esc'!$2:$53,2+'[2]Deloitte Forecast Input Esc'!$A17,FALSE)</f>
        <v>5.3000000000000007</v>
      </c>
      <c r="V36" s="101">
        <f>HLOOKUP("Permian Waha",'[2]Deloitte Forecast Input Esc'!$2:$53,2+'[2]Deloitte Forecast Input Esc'!$A17,FALSE)</f>
        <v>5.05</v>
      </c>
      <c r="W36" s="101">
        <f>HLOOKUP("San Juan Ignacio",'[2]Deloitte Forecast Input Esc'!$2:$53,2+'[2]Deloitte Forecast Input Esc'!$A17,FALSE)</f>
        <v>5.05</v>
      </c>
      <c r="X36" s="101">
        <f>HLOOKUP("Gulf Coast (Onshore)",'[2]Deloitte Forecast Input Esc'!$2:$53,2+'[2]Deloitte Forecast Input Esc'!$A17,FALSE)</f>
        <v>5.15</v>
      </c>
      <c r="Y36" s="101">
        <f>HLOOKUP("Louisiana East Texas",'[2]Deloitte Forecast Input Esc'!$2:$53,2+'[2]Deloitte Forecast Input Esc'!$A17,FALSE)</f>
        <v>5.15</v>
      </c>
      <c r="Z36" s="101">
        <f>HLOOKUP("Rocky Mountain Opal",'[2]Deloitte Forecast Input Esc'!$2:$53,2+'[2]Deloitte Forecast Input Esc'!$A17,FALSE)</f>
        <v>5</v>
      </c>
      <c r="AA36" s="102">
        <f>HLOOKUP("UK National Balancing Point",'[2]Deloitte Forecast Input Esc'!$2:$53,2+'[2]Deloitte Forecast Input Esc'!$A17,FALSE)</f>
        <v>7.9</v>
      </c>
      <c r="AB36" s="102">
        <f>HLOOKUP("Ethanol CBOT",'[2]Deloitte Forecast Input Esc'!$2:$53,2+'[2]Deloitte Forecast Input Esc'!$A17,FALSE)</f>
        <v>1.9500000000000002</v>
      </c>
    </row>
    <row r="37" spans="1:28" x14ac:dyDescent="0.2">
      <c r="A37" s="15"/>
      <c r="B37" s="18">
        <f t="shared" si="1"/>
        <v>2031</v>
      </c>
      <c r="C37" s="100">
        <f>HLOOKUP("British Pound",'[2]Deloitte Forecast Input Esc'!$2:$53,2+'[2]Deloitte Forecast Input Esc'!$A18,FALSE)</f>
        <v>1.25</v>
      </c>
      <c r="D37" s="39">
        <f>HLOOKUP("Euro",'[2]Deloitte Forecast Input Esc'!$2:$53,2+'[2]Deloitte Forecast Input Esc'!$A18,FALSE)</f>
        <v>1.05</v>
      </c>
      <c r="E37" s="17">
        <f>HLOOKUP("WTI",'[2]Deloitte Forecast Input Esc'!$2:$53,2+'[2]Deloitte Forecast Input Esc'!$A18,FALSE)</f>
        <v>98.949999999999989</v>
      </c>
      <c r="F37" s="17">
        <f>HLOOKUP("Alaskan North Slope",'[2]Deloitte Forecast Input Esc'!$2:$53,2+'[2]Deloitte Forecast Input Esc'!$A18,FALSE)</f>
        <v>87.100000000000009</v>
      </c>
      <c r="G37" s="17">
        <f>HLOOKUP("California Kern River",'[2]Deloitte Forecast Input Esc'!$2:$53,2+'[2]Deloitte Forecast Input Esc'!$A18,FALSE)</f>
        <v>92.35</v>
      </c>
      <c r="H37" s="17">
        <f>HLOOKUP("Louisiana Heavy Sweet",'[2]Deloitte Forecast Input Esc'!$2:$53,2+'[2]Deloitte Forecast Input Esc'!$A18,FALSE)</f>
        <v>95.649999999999991</v>
      </c>
      <c r="I37" s="17">
        <f>HLOOKUP("Louisiana Light Sweet",'[2]Deloitte Forecast Input Esc'!$2:$53,2+'[2]Deloitte Forecast Input Esc'!$A18,FALSE)</f>
        <v>96.300000000000011</v>
      </c>
      <c r="J37" s="17">
        <f>HLOOKUP("MARS Blend",'[2]Deloitte Forecast Input Esc'!$2:$53,2+'[2]Deloitte Forecast Input Esc'!$A18,FALSE)</f>
        <v>92.35</v>
      </c>
      <c r="K37" s="17">
        <f>HLOOKUP("Wyoming Sweet",'[2]Deloitte Forecast Input Esc'!$2:$53,2+'[2]Deloitte Forecast Input Esc'!$A18,FALSE)</f>
        <v>91.050000000000011</v>
      </c>
      <c r="L37" s="17">
        <f>HLOOKUP("Brent Spot",'[2]Deloitte Forecast Input Esc'!$2:$53,2+'[2]Deloitte Forecast Input Esc'!$A18,FALSE)</f>
        <v>100.3</v>
      </c>
      <c r="M37" s="17">
        <f>HLOOKUP("Gulf Coast Argus Sour Crude Index",'[2]Deloitte Forecast Input Esc'!$2:$53,2+'[2]Deloitte Forecast Input Esc'!$A18,FALSE)</f>
        <v>92.35</v>
      </c>
      <c r="N37" s="17">
        <f>HLOOKUP("Average OPEC Basket",'[2]Deloitte Forecast Input Esc'!$2:$53,2+'[2]Deloitte Forecast Input Esc'!$A18,FALSE)</f>
        <v>97.65</v>
      </c>
      <c r="O37" s="17">
        <f>HLOOKUP("Venezuelan Merey Crude",'[2]Deloitte Forecast Input Esc'!$2:$53,2+'[2]Deloitte Forecast Input Esc'!$A18,FALSE)</f>
        <v>88.4</v>
      </c>
      <c r="P37" s="17">
        <f>HLOOKUP("Nigerian Bonny Light",'[2]Deloitte Forecast Input Esc'!$2:$53,2+'[2]Deloitte Forecast Input Esc'!$A18,FALSE)</f>
        <v>100.8</v>
      </c>
      <c r="Q37" s="17">
        <f>HLOOKUP("Arabia UAE Dubai Feteh",'[2]Deloitte Forecast Input Esc'!$2:$53,2+'[2]Deloitte Forecast Input Esc'!$A18,FALSE)</f>
        <v>97</v>
      </c>
      <c r="R37" s="17">
        <f>HLOOKUP("Mexico Maya",'[2]Deloitte Forecast Input Esc'!$2:$53,2+'[2]Deloitte Forecast Input Esc'!$A18,FALSE)</f>
        <v>90.399999999999991</v>
      </c>
      <c r="S37" s="101">
        <f>HLOOKUP("Russia Urals",'[2]Deloitte Forecast Input Esc'!$2:$53,2+'[2]Deloitte Forecast Input Esc'!$A18,FALSE)</f>
        <v>98.3</v>
      </c>
      <c r="T37" s="102">
        <f>HLOOKUP("Indonesia Minas",'[2]Deloitte Forecast Input Esc'!$2:$53,2+'[2]Deloitte Forecast Input Esc'!$A18,FALSE)</f>
        <v>96.300000000000011</v>
      </c>
      <c r="U37" s="101">
        <f>HLOOKUP("NYMEX Henry Hub",'[2]Deloitte Forecast Input Esc'!$2:$53,2+'[2]Deloitte Forecast Input Esc'!$A18,FALSE)</f>
        <v>5.4</v>
      </c>
      <c r="V37" s="101">
        <f>HLOOKUP("Permian Waha",'[2]Deloitte Forecast Input Esc'!$2:$53,2+'[2]Deloitte Forecast Input Esc'!$A18,FALSE)</f>
        <v>5.15</v>
      </c>
      <c r="W37" s="101">
        <f>HLOOKUP("San Juan Ignacio",'[2]Deloitte Forecast Input Esc'!$2:$53,2+'[2]Deloitte Forecast Input Esc'!$A18,FALSE)</f>
        <v>5.15</v>
      </c>
      <c r="X37" s="101">
        <f>HLOOKUP("Gulf Coast (Onshore)",'[2]Deloitte Forecast Input Esc'!$2:$53,2+'[2]Deloitte Forecast Input Esc'!$A18,FALSE)</f>
        <v>5.3000000000000007</v>
      </c>
      <c r="Y37" s="101">
        <f>HLOOKUP("Louisiana East Texas",'[2]Deloitte Forecast Input Esc'!$2:$53,2+'[2]Deloitte Forecast Input Esc'!$A18,FALSE)</f>
        <v>5.3000000000000007</v>
      </c>
      <c r="Z37" s="101">
        <f>HLOOKUP("Rocky Mountain Opal",'[2]Deloitte Forecast Input Esc'!$2:$53,2+'[2]Deloitte Forecast Input Esc'!$A18,FALSE)</f>
        <v>5.0999999999999996</v>
      </c>
      <c r="AA37" s="102">
        <f>HLOOKUP("UK National Balancing Point",'[2]Deloitte Forecast Input Esc'!$2:$53,2+'[2]Deloitte Forecast Input Esc'!$A18,FALSE)</f>
        <v>8.0500000000000007</v>
      </c>
      <c r="AB37" s="102">
        <f>HLOOKUP("Ethanol CBOT",'[2]Deloitte Forecast Input Esc'!$2:$53,2+'[2]Deloitte Forecast Input Esc'!$A18,FALSE)</f>
        <v>2</v>
      </c>
    </row>
    <row r="38" spans="1:28" x14ac:dyDescent="0.2">
      <c r="A38" s="15"/>
      <c r="B38" s="18">
        <f t="shared" si="1"/>
        <v>2032</v>
      </c>
      <c r="C38" s="100">
        <f>HLOOKUP("British Pound",'[2]Deloitte Forecast Input Esc'!$2:$53,2+'[2]Deloitte Forecast Input Esc'!$A19,FALSE)</f>
        <v>1.25</v>
      </c>
      <c r="D38" s="39">
        <f>HLOOKUP("Euro",'[2]Deloitte Forecast Input Esc'!$2:$53,2+'[2]Deloitte Forecast Input Esc'!$A19,FALSE)</f>
        <v>1.05</v>
      </c>
      <c r="E38" s="17">
        <f>HLOOKUP("WTI",'[2]Deloitte Forecast Input Esc'!$2:$53,2+'[2]Deloitte Forecast Input Esc'!$A19,FALSE)</f>
        <v>100.95</v>
      </c>
      <c r="F38" s="17">
        <f>HLOOKUP("Alaskan North Slope",'[2]Deloitte Forecast Input Esc'!$2:$53,2+'[2]Deloitte Forecast Input Esc'!$A19,FALSE)</f>
        <v>88.85</v>
      </c>
      <c r="G38" s="17">
        <f>HLOOKUP("California Kern River",'[2]Deloitte Forecast Input Esc'!$2:$53,2+'[2]Deloitte Forecast Input Esc'!$A19,FALSE)</f>
        <v>94.2</v>
      </c>
      <c r="H38" s="17">
        <f>HLOOKUP("Louisiana Heavy Sweet",'[2]Deloitte Forecast Input Esc'!$2:$53,2+'[2]Deloitte Forecast Input Esc'!$A19,FALSE)</f>
        <v>97.6</v>
      </c>
      <c r="I38" s="17">
        <f>HLOOKUP("Louisiana Light Sweet",'[2]Deloitte Forecast Input Esc'!$2:$53,2+'[2]Deloitte Forecast Input Esc'!$A19,FALSE)</f>
        <v>98.25</v>
      </c>
      <c r="J38" s="17">
        <f>HLOOKUP("MARS Blend",'[2]Deloitte Forecast Input Esc'!$2:$53,2+'[2]Deloitte Forecast Input Esc'!$A19,FALSE)</f>
        <v>94.2</v>
      </c>
      <c r="K38" s="17">
        <f>HLOOKUP("Wyoming Sweet",'[2]Deloitte Forecast Input Esc'!$2:$53,2+'[2]Deloitte Forecast Input Esc'!$A19,FALSE)</f>
        <v>92.85</v>
      </c>
      <c r="L38" s="17">
        <f>HLOOKUP("Brent Spot",'[2]Deloitte Forecast Input Esc'!$2:$53,2+'[2]Deloitte Forecast Input Esc'!$A19,FALSE)</f>
        <v>102.30000000000001</v>
      </c>
      <c r="M38" s="17">
        <f>HLOOKUP("Gulf Coast Argus Sour Crude Index",'[2]Deloitte Forecast Input Esc'!$2:$53,2+'[2]Deloitte Forecast Input Esc'!$A19,FALSE)</f>
        <v>94.2</v>
      </c>
      <c r="N38" s="17">
        <f>HLOOKUP("Average OPEC Basket",'[2]Deloitte Forecast Input Esc'!$2:$53,2+'[2]Deloitte Forecast Input Esc'!$A19,FALSE)</f>
        <v>99.600000000000009</v>
      </c>
      <c r="O38" s="17">
        <f>HLOOKUP("Venezuelan Merey Crude",'[2]Deloitte Forecast Input Esc'!$2:$53,2+'[2]Deloitte Forecast Input Esc'!$A19,FALSE)</f>
        <v>90.15</v>
      </c>
      <c r="P38" s="17">
        <f>HLOOKUP("Nigerian Bonny Light",'[2]Deloitte Forecast Input Esc'!$2:$53,2+'[2]Deloitte Forecast Input Esc'!$A19,FALSE)</f>
        <v>102.8</v>
      </c>
      <c r="Q38" s="17">
        <f>HLOOKUP("Arabia UAE Dubai Feteh",'[2]Deloitte Forecast Input Esc'!$2:$53,2+'[2]Deloitte Forecast Input Esc'!$A19,FALSE)</f>
        <v>98.9</v>
      </c>
      <c r="R38" s="17">
        <f>HLOOKUP("Mexico Maya",'[2]Deloitte Forecast Input Esc'!$2:$53,2+'[2]Deloitte Forecast Input Esc'!$A19,FALSE)</f>
        <v>92.2</v>
      </c>
      <c r="S38" s="101">
        <f>HLOOKUP("Russia Urals",'[2]Deloitte Forecast Input Esc'!$2:$53,2+'[2]Deloitte Forecast Input Esc'!$A19,FALSE)</f>
        <v>100.25</v>
      </c>
      <c r="T38" s="102">
        <f>HLOOKUP("Indonesia Minas",'[2]Deloitte Forecast Input Esc'!$2:$53,2+'[2]Deloitte Forecast Input Esc'!$A19,FALSE)</f>
        <v>98.25</v>
      </c>
      <c r="U38" s="101">
        <f>HLOOKUP("NYMEX Henry Hub",'[2]Deloitte Forecast Input Esc'!$2:$53,2+'[2]Deloitte Forecast Input Esc'!$A19,FALSE)</f>
        <v>5.5</v>
      </c>
      <c r="V38" s="101">
        <f>HLOOKUP("Permian Waha",'[2]Deloitte Forecast Input Esc'!$2:$53,2+'[2]Deloitte Forecast Input Esc'!$A19,FALSE)</f>
        <v>5.25</v>
      </c>
      <c r="W38" s="101">
        <f>HLOOKUP("San Juan Ignacio",'[2]Deloitte Forecast Input Esc'!$2:$53,2+'[2]Deloitte Forecast Input Esc'!$A19,FALSE)</f>
        <v>5.25</v>
      </c>
      <c r="X38" s="101">
        <f>HLOOKUP("Gulf Coast (Onshore)",'[2]Deloitte Forecast Input Esc'!$2:$53,2+'[2]Deloitte Forecast Input Esc'!$A19,FALSE)</f>
        <v>5.4</v>
      </c>
      <c r="Y38" s="101">
        <f>HLOOKUP("Louisiana East Texas",'[2]Deloitte Forecast Input Esc'!$2:$53,2+'[2]Deloitte Forecast Input Esc'!$A19,FALSE)</f>
        <v>5.4</v>
      </c>
      <c r="Z38" s="101">
        <f>HLOOKUP("Rocky Mountain Opal",'[2]Deloitte Forecast Input Esc'!$2:$53,2+'[2]Deloitte Forecast Input Esc'!$A19,FALSE)</f>
        <v>5.2</v>
      </c>
      <c r="AA38" s="102">
        <f>HLOOKUP("UK National Balancing Point",'[2]Deloitte Forecast Input Esc'!$2:$53,2+'[2]Deloitte Forecast Input Esc'!$A19,FALSE)</f>
        <v>8.1999999999999993</v>
      </c>
      <c r="AB38" s="102">
        <f>HLOOKUP("Ethanol CBOT",'[2]Deloitte Forecast Input Esc'!$2:$53,2+'[2]Deloitte Forecast Input Esc'!$A19,FALSE)</f>
        <v>2</v>
      </c>
    </row>
    <row r="39" spans="1:28" x14ac:dyDescent="0.2">
      <c r="A39" s="15"/>
      <c r="B39" s="18">
        <f t="shared" si="1"/>
        <v>2033</v>
      </c>
      <c r="C39" s="100">
        <f>HLOOKUP("British Pound",'[2]Deloitte Forecast Input Esc'!$2:$53,2+'[2]Deloitte Forecast Input Esc'!$A20,FALSE)</f>
        <v>1.25</v>
      </c>
      <c r="D39" s="39">
        <f>HLOOKUP("Euro",'[2]Deloitte Forecast Input Esc'!$2:$53,2+'[2]Deloitte Forecast Input Esc'!$A20,FALSE)</f>
        <v>1.05</v>
      </c>
      <c r="E39" s="17">
        <f>HLOOKUP("WTI",'[2]Deloitte Forecast Input Esc'!$2:$53,2+'[2]Deloitte Forecast Input Esc'!$A20,FALSE)</f>
        <v>102.95</v>
      </c>
      <c r="F39" s="17">
        <f>HLOOKUP("Alaskan North Slope",'[2]Deloitte Forecast Input Esc'!$2:$53,2+'[2]Deloitte Forecast Input Esc'!$A20,FALSE)</f>
        <v>90.600000000000009</v>
      </c>
      <c r="G39" s="17">
        <f>HLOOKUP("California Kern River",'[2]Deloitte Forecast Input Esc'!$2:$53,2+'[2]Deloitte Forecast Input Esc'!$A20,FALSE)</f>
        <v>96.1</v>
      </c>
      <c r="H39" s="17">
        <f>HLOOKUP("Louisiana Heavy Sweet",'[2]Deloitte Forecast Input Esc'!$2:$53,2+'[2]Deloitte Forecast Input Esc'!$A20,FALSE)</f>
        <v>99.55</v>
      </c>
      <c r="I39" s="17">
        <f>HLOOKUP("Louisiana Light Sweet",'[2]Deloitte Forecast Input Esc'!$2:$53,2+'[2]Deloitte Forecast Input Esc'!$A20,FALSE)</f>
        <v>100.19999999999999</v>
      </c>
      <c r="J39" s="17">
        <f>HLOOKUP("MARS Blend",'[2]Deloitte Forecast Input Esc'!$2:$53,2+'[2]Deloitte Forecast Input Esc'!$A20,FALSE)</f>
        <v>96.1</v>
      </c>
      <c r="K39" s="17">
        <f>HLOOKUP("Wyoming Sweet",'[2]Deloitte Forecast Input Esc'!$2:$53,2+'[2]Deloitte Forecast Input Esc'!$A20,FALSE)</f>
        <v>94.7</v>
      </c>
      <c r="L39" s="17">
        <f>HLOOKUP("Brent Spot",'[2]Deloitte Forecast Input Esc'!$2:$53,2+'[2]Deloitte Forecast Input Esc'!$A20,FALSE)</f>
        <v>104.35000000000001</v>
      </c>
      <c r="M39" s="17">
        <f>HLOOKUP("Gulf Coast Argus Sour Crude Index",'[2]Deloitte Forecast Input Esc'!$2:$53,2+'[2]Deloitte Forecast Input Esc'!$A20,FALSE)</f>
        <v>96.1</v>
      </c>
      <c r="N39" s="17">
        <f>HLOOKUP("Average OPEC Basket",'[2]Deloitte Forecast Input Esc'!$2:$53,2+'[2]Deloitte Forecast Input Esc'!$A20,FALSE)</f>
        <v>101.6</v>
      </c>
      <c r="O39" s="17">
        <f>HLOOKUP("Venezuelan Merey Crude",'[2]Deloitte Forecast Input Esc'!$2:$53,2+'[2]Deloitte Forecast Input Esc'!$A20,FALSE)</f>
        <v>92</v>
      </c>
      <c r="P39" s="17">
        <f>HLOOKUP("Nigerian Bonny Light",'[2]Deloitte Forecast Input Esc'!$2:$53,2+'[2]Deloitte Forecast Input Esc'!$A20,FALSE)</f>
        <v>104.9</v>
      </c>
      <c r="Q39" s="17">
        <f>HLOOKUP("Arabia UAE Dubai Feteh",'[2]Deloitte Forecast Input Esc'!$2:$53,2+'[2]Deloitte Forecast Input Esc'!$A20,FALSE)</f>
        <v>100.9</v>
      </c>
      <c r="R39" s="17">
        <f>HLOOKUP("Mexico Maya",'[2]Deloitte Forecast Input Esc'!$2:$53,2+'[2]Deloitte Forecast Input Esc'!$A20,FALSE)</f>
        <v>94.05</v>
      </c>
      <c r="S39" s="101">
        <f>HLOOKUP("Russia Urals",'[2]Deloitte Forecast Input Esc'!$2:$53,2+'[2]Deloitte Forecast Input Esc'!$A20,FALSE)</f>
        <v>102.25</v>
      </c>
      <c r="T39" s="102">
        <f>HLOOKUP("Indonesia Minas",'[2]Deloitte Forecast Input Esc'!$2:$53,2+'[2]Deloitte Forecast Input Esc'!$A20,FALSE)</f>
        <v>100.19999999999999</v>
      </c>
      <c r="U39" s="101">
        <f>HLOOKUP("NYMEX Henry Hub",'[2]Deloitte Forecast Input Esc'!$2:$53,2+'[2]Deloitte Forecast Input Esc'!$A20,FALSE)</f>
        <v>5.6499999999999995</v>
      </c>
      <c r="V39" s="101">
        <f>HLOOKUP("Permian Waha",'[2]Deloitte Forecast Input Esc'!$2:$53,2+'[2]Deloitte Forecast Input Esc'!$A20,FALSE)</f>
        <v>5.3500000000000005</v>
      </c>
      <c r="W39" s="101">
        <f>HLOOKUP("San Juan Ignacio",'[2]Deloitte Forecast Input Esc'!$2:$53,2+'[2]Deloitte Forecast Input Esc'!$A20,FALSE)</f>
        <v>5.3500000000000005</v>
      </c>
      <c r="X39" s="101">
        <f>HLOOKUP("Gulf Coast (Onshore)",'[2]Deloitte Forecast Input Esc'!$2:$53,2+'[2]Deloitte Forecast Input Esc'!$A20,FALSE)</f>
        <v>5.5</v>
      </c>
      <c r="Y39" s="101">
        <f>HLOOKUP("Louisiana East Texas",'[2]Deloitte Forecast Input Esc'!$2:$53,2+'[2]Deloitte Forecast Input Esc'!$A20,FALSE)</f>
        <v>5.5</v>
      </c>
      <c r="Z39" s="101">
        <f>HLOOKUP("Rocky Mountain Opal",'[2]Deloitte Forecast Input Esc'!$2:$53,2+'[2]Deloitte Forecast Input Esc'!$A20,FALSE)</f>
        <v>5.3000000000000007</v>
      </c>
      <c r="AA39" s="102">
        <f>HLOOKUP("UK National Balancing Point",'[2]Deloitte Forecast Input Esc'!$2:$53,2+'[2]Deloitte Forecast Input Esc'!$A20,FALSE)</f>
        <v>8.35</v>
      </c>
      <c r="AB39" s="102">
        <f>HLOOKUP("Ethanol CBOT",'[2]Deloitte Forecast Input Esc'!$2:$53,2+'[2]Deloitte Forecast Input Esc'!$A20,FALSE)</f>
        <v>2.0499999999999998</v>
      </c>
    </row>
    <row r="40" spans="1:28" x14ac:dyDescent="0.2">
      <c r="A40" s="15"/>
      <c r="B40" s="18">
        <f t="shared" si="1"/>
        <v>2034</v>
      </c>
      <c r="C40" s="100">
        <f>HLOOKUP("British Pound",'[2]Deloitte Forecast Input Esc'!$2:$53,2+'[2]Deloitte Forecast Input Esc'!$A21,FALSE)</f>
        <v>1.25</v>
      </c>
      <c r="D40" s="39">
        <f>HLOOKUP("Euro",'[2]Deloitte Forecast Input Esc'!$2:$53,2+'[2]Deloitte Forecast Input Esc'!$A21,FALSE)</f>
        <v>1.05</v>
      </c>
      <c r="E40" s="17">
        <f>HLOOKUP("WTI",'[2]Deloitte Forecast Input Esc'!$2:$53,2+'[2]Deloitte Forecast Input Esc'!$A21,FALSE)</f>
        <v>105</v>
      </c>
      <c r="F40" s="17">
        <f>HLOOKUP("Alaskan North Slope",'[2]Deloitte Forecast Input Esc'!$2:$53,2+'[2]Deloitte Forecast Input Esc'!$A21,FALSE)</f>
        <v>92.4</v>
      </c>
      <c r="G40" s="17">
        <f>HLOOKUP("California Kern River",'[2]Deloitte Forecast Input Esc'!$2:$53,2+'[2]Deloitte Forecast Input Esc'!$A21,FALSE)</f>
        <v>98</v>
      </c>
      <c r="H40" s="17">
        <f>HLOOKUP("Louisiana Heavy Sweet",'[2]Deloitte Forecast Input Esc'!$2:$53,2+'[2]Deloitte Forecast Input Esc'!$A21,FALSE)</f>
        <v>101.5</v>
      </c>
      <c r="I40" s="17">
        <f>HLOOKUP("Louisiana Light Sweet",'[2]Deloitte Forecast Input Esc'!$2:$53,2+'[2]Deloitte Forecast Input Esc'!$A21,FALSE)</f>
        <v>102.2</v>
      </c>
      <c r="J40" s="17">
        <f>HLOOKUP("MARS Blend",'[2]Deloitte Forecast Input Esc'!$2:$53,2+'[2]Deloitte Forecast Input Esc'!$A21,FALSE)</f>
        <v>98</v>
      </c>
      <c r="K40" s="17">
        <f>HLOOKUP("Wyoming Sweet",'[2]Deloitte Forecast Input Esc'!$2:$53,2+'[2]Deloitte Forecast Input Esc'!$A21,FALSE)</f>
        <v>96.6</v>
      </c>
      <c r="L40" s="17">
        <f>HLOOKUP("Brent Spot",'[2]Deloitte Forecast Input Esc'!$2:$53,2+'[2]Deloitte Forecast Input Esc'!$A21,FALSE)</f>
        <v>106.4</v>
      </c>
      <c r="M40" s="17">
        <f>HLOOKUP("Gulf Coast Argus Sour Crude Index",'[2]Deloitte Forecast Input Esc'!$2:$53,2+'[2]Deloitte Forecast Input Esc'!$A21,FALSE)</f>
        <v>98</v>
      </c>
      <c r="N40" s="17">
        <f>HLOOKUP("Average OPEC Basket",'[2]Deloitte Forecast Input Esc'!$2:$53,2+'[2]Deloitte Forecast Input Esc'!$A21,FALSE)</f>
        <v>103.6</v>
      </c>
      <c r="O40" s="17">
        <f>HLOOKUP("Venezuelan Merey Crude",'[2]Deloitte Forecast Input Esc'!$2:$53,2+'[2]Deloitte Forecast Input Esc'!$A21,FALSE)</f>
        <v>93.800000000000011</v>
      </c>
      <c r="P40" s="17">
        <f>HLOOKUP("Nigerian Bonny Light",'[2]Deloitte Forecast Input Esc'!$2:$53,2+'[2]Deloitte Forecast Input Esc'!$A21,FALSE)</f>
        <v>107</v>
      </c>
      <c r="Q40" s="17">
        <f>HLOOKUP("Arabia UAE Dubai Feteh",'[2]Deloitte Forecast Input Esc'!$2:$53,2+'[2]Deloitte Forecast Input Esc'!$A21,FALSE)</f>
        <v>102.89999999999999</v>
      </c>
      <c r="R40" s="17">
        <f>HLOOKUP("Mexico Maya",'[2]Deloitte Forecast Input Esc'!$2:$53,2+'[2]Deloitte Forecast Input Esc'!$A21,FALSE)</f>
        <v>95.9</v>
      </c>
      <c r="S40" s="101">
        <f>HLOOKUP("Russia Urals",'[2]Deloitte Forecast Input Esc'!$2:$53,2+'[2]Deloitte Forecast Input Esc'!$A21,FALSE)</f>
        <v>104.3</v>
      </c>
      <c r="T40" s="102">
        <f>HLOOKUP("Indonesia Minas",'[2]Deloitte Forecast Input Esc'!$2:$53,2+'[2]Deloitte Forecast Input Esc'!$A21,FALSE)</f>
        <v>102.2</v>
      </c>
      <c r="U40" s="101">
        <f>HLOOKUP("NYMEX Henry Hub",'[2]Deloitte Forecast Input Esc'!$2:$53,2+'[2]Deloitte Forecast Input Esc'!$A21,FALSE)</f>
        <v>5.75</v>
      </c>
      <c r="V40" s="101">
        <f>HLOOKUP("Permian Waha",'[2]Deloitte Forecast Input Esc'!$2:$53,2+'[2]Deloitte Forecast Input Esc'!$A21,FALSE)</f>
        <v>5.45</v>
      </c>
      <c r="W40" s="101">
        <f>HLOOKUP("San Juan Ignacio",'[2]Deloitte Forecast Input Esc'!$2:$53,2+'[2]Deloitte Forecast Input Esc'!$A21,FALSE)</f>
        <v>5.45</v>
      </c>
      <c r="X40" s="101">
        <f>HLOOKUP("Gulf Coast (Onshore)",'[2]Deloitte Forecast Input Esc'!$2:$53,2+'[2]Deloitte Forecast Input Esc'!$A21,FALSE)</f>
        <v>5.6000000000000005</v>
      </c>
      <c r="Y40" s="101">
        <f>HLOOKUP("Louisiana East Texas",'[2]Deloitte Forecast Input Esc'!$2:$53,2+'[2]Deloitte Forecast Input Esc'!$A21,FALSE)</f>
        <v>5.6000000000000005</v>
      </c>
      <c r="Z40" s="101">
        <f>HLOOKUP("Rocky Mountain Opal",'[2]Deloitte Forecast Input Esc'!$2:$53,2+'[2]Deloitte Forecast Input Esc'!$A21,FALSE)</f>
        <v>5.4</v>
      </c>
      <c r="AA40" s="102">
        <f>HLOOKUP("UK National Balancing Point",'[2]Deloitte Forecast Input Esc'!$2:$53,2+'[2]Deloitte Forecast Input Esc'!$A21,FALSE)</f>
        <v>8.5500000000000007</v>
      </c>
      <c r="AB40" s="102">
        <f>HLOOKUP("Ethanol CBOT",'[2]Deloitte Forecast Input Esc'!$2:$53,2+'[2]Deloitte Forecast Input Esc'!$A21,FALSE)</f>
        <v>2.1</v>
      </c>
    </row>
    <row r="41" spans="1:28" x14ac:dyDescent="0.2">
      <c r="A41" s="15"/>
      <c r="B41" s="18">
        <f t="shared" si="1"/>
        <v>2035</v>
      </c>
      <c r="C41" s="100">
        <f>HLOOKUP("British Pound",'[2]Deloitte Forecast Input Esc'!$2:$53,2+'[2]Deloitte Forecast Input Esc'!$A22,FALSE)</f>
        <v>1.25</v>
      </c>
      <c r="D41" s="39">
        <f>HLOOKUP("Euro",'[2]Deloitte Forecast Input Esc'!$2:$53,2+'[2]Deloitte Forecast Input Esc'!$A22,FALSE)</f>
        <v>1.05</v>
      </c>
      <c r="E41" s="17">
        <f>HLOOKUP("WTI",'[2]Deloitte Forecast Input Esc'!$2:$53,2+'[2]Deloitte Forecast Input Esc'!$A22,FALSE)</f>
        <v>107.10000000000001</v>
      </c>
      <c r="F41" s="17">
        <f>HLOOKUP("Alaskan North Slope",'[2]Deloitte Forecast Input Esc'!$2:$53,2+'[2]Deloitte Forecast Input Esc'!$A22,FALSE)</f>
        <v>94.25</v>
      </c>
      <c r="G41" s="17">
        <f>HLOOKUP("California Kern River",'[2]Deloitte Forecast Input Esc'!$2:$53,2+'[2]Deloitte Forecast Input Esc'!$A22,FALSE)</f>
        <v>100</v>
      </c>
      <c r="H41" s="17">
        <f>HLOOKUP("Louisiana Heavy Sweet",'[2]Deloitte Forecast Input Esc'!$2:$53,2+'[2]Deloitte Forecast Input Esc'!$A22,FALSE)</f>
        <v>103.55000000000001</v>
      </c>
      <c r="I41" s="17">
        <f>HLOOKUP("Louisiana Light Sweet",'[2]Deloitte Forecast Input Esc'!$2:$53,2+'[2]Deloitte Forecast Input Esc'!$A22,FALSE)</f>
        <v>104.25</v>
      </c>
      <c r="J41" s="17">
        <f>HLOOKUP("MARS Blend",'[2]Deloitte Forecast Input Esc'!$2:$53,2+'[2]Deloitte Forecast Input Esc'!$A22,FALSE)</f>
        <v>100</v>
      </c>
      <c r="K41" s="17">
        <f>HLOOKUP("Wyoming Sweet",'[2]Deloitte Forecast Input Esc'!$2:$53,2+'[2]Deloitte Forecast Input Esc'!$A22,FALSE)</f>
        <v>98.550000000000011</v>
      </c>
      <c r="L41" s="17">
        <f>HLOOKUP("Brent Spot",'[2]Deloitte Forecast Input Esc'!$2:$53,2+'[2]Deloitte Forecast Input Esc'!$A22,FALSE)</f>
        <v>108.55000000000001</v>
      </c>
      <c r="M41" s="17">
        <f>HLOOKUP("Gulf Coast Argus Sour Crude Index",'[2]Deloitte Forecast Input Esc'!$2:$53,2+'[2]Deloitte Forecast Input Esc'!$A22,FALSE)</f>
        <v>100</v>
      </c>
      <c r="N41" s="17">
        <f>HLOOKUP("Average OPEC Basket",'[2]Deloitte Forecast Input Esc'!$2:$53,2+'[2]Deloitte Forecast Input Esc'!$A22,FALSE)</f>
        <v>105.7</v>
      </c>
      <c r="O41" s="17">
        <f>HLOOKUP("Venezuelan Merey Crude",'[2]Deloitte Forecast Input Esc'!$2:$53,2+'[2]Deloitte Forecast Input Esc'!$A22,FALSE)</f>
        <v>95.7</v>
      </c>
      <c r="P41" s="17">
        <f>HLOOKUP("Nigerian Bonny Light",'[2]Deloitte Forecast Input Esc'!$2:$53,2+'[2]Deloitte Forecast Input Esc'!$A22,FALSE)</f>
        <v>109.1</v>
      </c>
      <c r="Q41" s="17">
        <f>HLOOKUP("Arabia UAE Dubai Feteh",'[2]Deloitte Forecast Input Esc'!$2:$53,2+'[2]Deloitte Forecast Input Esc'!$A22,FALSE)</f>
        <v>105</v>
      </c>
      <c r="R41" s="17">
        <f>HLOOKUP("Mexico Maya",'[2]Deloitte Forecast Input Esc'!$2:$53,2+'[2]Deloitte Forecast Input Esc'!$A22,FALSE)</f>
        <v>97.85</v>
      </c>
      <c r="S41" s="101">
        <f>HLOOKUP("Russia Urals",'[2]Deloitte Forecast Input Esc'!$2:$53,2+'[2]Deloitte Forecast Input Esc'!$A22,FALSE)</f>
        <v>106.4</v>
      </c>
      <c r="T41" s="102">
        <f>HLOOKUP("Indonesia Minas",'[2]Deloitte Forecast Input Esc'!$2:$53,2+'[2]Deloitte Forecast Input Esc'!$A22,FALSE)</f>
        <v>104.25</v>
      </c>
      <c r="U41" s="101">
        <f>HLOOKUP("NYMEX Henry Hub",'[2]Deloitte Forecast Input Esc'!$2:$53,2+'[2]Deloitte Forecast Input Esc'!$A22,FALSE)</f>
        <v>5.85</v>
      </c>
      <c r="V41" s="101">
        <f>HLOOKUP("Permian Waha",'[2]Deloitte Forecast Input Esc'!$2:$53,2+'[2]Deloitte Forecast Input Esc'!$A22,FALSE)</f>
        <v>5.5500000000000007</v>
      </c>
      <c r="W41" s="101">
        <f>HLOOKUP("San Juan Ignacio",'[2]Deloitte Forecast Input Esc'!$2:$53,2+'[2]Deloitte Forecast Input Esc'!$A22,FALSE)</f>
        <v>5.5500000000000007</v>
      </c>
      <c r="X41" s="101">
        <f>HLOOKUP("Gulf Coast (Onshore)",'[2]Deloitte Forecast Input Esc'!$2:$53,2+'[2]Deloitte Forecast Input Esc'!$A22,FALSE)</f>
        <v>5.6999999999999993</v>
      </c>
      <c r="Y41" s="101">
        <f>HLOOKUP("Louisiana East Texas",'[2]Deloitte Forecast Input Esc'!$2:$53,2+'[2]Deloitte Forecast Input Esc'!$A22,FALSE)</f>
        <v>5.6999999999999993</v>
      </c>
      <c r="Z41" s="101">
        <f>HLOOKUP("Rocky Mountain Opal",'[2]Deloitte Forecast Input Esc'!$2:$53,2+'[2]Deloitte Forecast Input Esc'!$A22,FALSE)</f>
        <v>5.5</v>
      </c>
      <c r="AA41" s="102">
        <f>HLOOKUP("UK National Balancing Point",'[2]Deloitte Forecast Input Esc'!$2:$53,2+'[2]Deloitte Forecast Input Esc'!$A22,FALSE)</f>
        <v>8.6999999999999993</v>
      </c>
      <c r="AB41" s="102">
        <f>HLOOKUP("Ethanol CBOT",'[2]Deloitte Forecast Input Esc'!$2:$53,2+'[2]Deloitte Forecast Input Esc'!$A22,FALSE)</f>
        <v>2.15</v>
      </c>
    </row>
    <row r="42" spans="1:28" x14ac:dyDescent="0.2">
      <c r="A42" s="15"/>
      <c r="B42" s="18">
        <f t="shared" si="1"/>
        <v>2036</v>
      </c>
      <c r="C42" s="31">
        <f>HLOOKUP("British Pound",'[2]Deloitte Forecast Input Esc'!$2:$53,2+'[2]Deloitte Forecast Input Esc'!$A23,FALSE)</f>
        <v>1.25</v>
      </c>
      <c r="D42" s="39">
        <f>HLOOKUP("Euro",'[2]Deloitte Forecast Input Esc'!$2:$53,2+'[2]Deloitte Forecast Input Esc'!$A23,FALSE)</f>
        <v>1.05</v>
      </c>
      <c r="E42" s="17">
        <f>HLOOKUP("WTI",'[2]Deloitte Forecast Input Esc'!$2:$53,2+'[2]Deloitte Forecast Input Esc'!$A23,FALSE)</f>
        <v>109.25</v>
      </c>
      <c r="F42" s="17">
        <f>HLOOKUP("Alaskan North Slope",'[2]Deloitte Forecast Input Esc'!$2:$53,2+'[2]Deloitte Forecast Input Esc'!$A23,FALSE)</f>
        <v>96.15</v>
      </c>
      <c r="G42" s="17">
        <f>HLOOKUP("California Kern River",'[2]Deloitte Forecast Input Esc'!$2:$53,2+'[2]Deloitte Forecast Input Esc'!$A23,FALSE)</f>
        <v>102</v>
      </c>
      <c r="H42" s="17">
        <f>HLOOKUP("Louisiana Heavy Sweet",'[2]Deloitte Forecast Input Esc'!$2:$53,2+'[2]Deloitte Forecast Input Esc'!$A23,FALSE)</f>
        <v>105.60000000000001</v>
      </c>
      <c r="I42" s="17">
        <f>HLOOKUP("Louisiana Light Sweet",'[2]Deloitte Forecast Input Esc'!$2:$53,2+'[2]Deloitte Forecast Input Esc'!$A23,FALSE)</f>
        <v>106.35</v>
      </c>
      <c r="J42" s="17">
        <f>HLOOKUP("MARS Blend",'[2]Deloitte Forecast Input Esc'!$2:$53,2+'[2]Deloitte Forecast Input Esc'!$A23,FALSE)</f>
        <v>102</v>
      </c>
      <c r="K42" s="17">
        <f>HLOOKUP("Wyoming Sweet",'[2]Deloitte Forecast Input Esc'!$2:$53,2+'[2]Deloitte Forecast Input Esc'!$A23,FALSE)</f>
        <v>100.5</v>
      </c>
      <c r="L42" s="17">
        <f>HLOOKUP("Brent Spot",'[2]Deloitte Forecast Input Esc'!$2:$53,2+'[2]Deloitte Forecast Input Esc'!$A23,FALSE)</f>
        <v>110.7</v>
      </c>
      <c r="M42" s="17">
        <f>HLOOKUP("Gulf Coast Argus Sour Crude Index",'[2]Deloitte Forecast Input Esc'!$2:$53,2+'[2]Deloitte Forecast Input Esc'!$A23,FALSE)</f>
        <v>102</v>
      </c>
      <c r="N42" s="17">
        <f>HLOOKUP("Average OPEC Basket",'[2]Deloitte Forecast Input Esc'!$2:$53,2+'[2]Deloitte Forecast Input Esc'!$A23,FALSE)</f>
        <v>107.8</v>
      </c>
      <c r="O42" s="17">
        <f>HLOOKUP("Venezuelan Merey Crude",'[2]Deloitte Forecast Input Esc'!$2:$53,2+'[2]Deloitte Forecast Input Esc'!$A23,FALSE)</f>
        <v>97.6</v>
      </c>
      <c r="P42" s="17">
        <f>HLOOKUP("Nigerian Bonny Light",'[2]Deloitte Forecast Input Esc'!$2:$53,2+'[2]Deloitte Forecast Input Esc'!$A23,FALSE)</f>
        <v>111.30000000000001</v>
      </c>
      <c r="Q42" s="17">
        <f>HLOOKUP("Arabia UAE Dubai Feteh",'[2]Deloitte Forecast Input Esc'!$2:$53,2+'[2]Deloitte Forecast Input Esc'!$A23,FALSE)</f>
        <v>107.10000000000001</v>
      </c>
      <c r="R42" s="17">
        <f>HLOOKUP("Mexico Maya",'[2]Deloitte Forecast Input Esc'!$2:$53,2+'[2]Deloitte Forecast Input Esc'!$A23,FALSE)</f>
        <v>99.800000000000011</v>
      </c>
      <c r="S42" s="101">
        <f>HLOOKUP("Russia Urals",'[2]Deloitte Forecast Input Esc'!$2:$53,2+'[2]Deloitte Forecast Input Esc'!$A23,FALSE)</f>
        <v>108.55000000000001</v>
      </c>
      <c r="T42" s="102">
        <f>HLOOKUP("Indonesia Minas",'[2]Deloitte Forecast Input Esc'!$2:$53,2+'[2]Deloitte Forecast Input Esc'!$A23,FALSE)</f>
        <v>106.35</v>
      </c>
      <c r="U42" s="101">
        <f>HLOOKUP("NYMEX Henry Hub",'[2]Deloitte Forecast Input Esc'!$2:$53,2+'[2]Deloitte Forecast Input Esc'!$A23,FALSE)</f>
        <v>5.9499999999999993</v>
      </c>
      <c r="V42" s="101">
        <f>HLOOKUP("Permian Waha",'[2]Deloitte Forecast Input Esc'!$2:$53,2+'[2]Deloitte Forecast Input Esc'!$A23,FALSE)</f>
        <v>5.6999999999999993</v>
      </c>
      <c r="W42" s="101">
        <f>HLOOKUP("San Juan Ignacio",'[2]Deloitte Forecast Input Esc'!$2:$53,2+'[2]Deloitte Forecast Input Esc'!$A23,FALSE)</f>
        <v>5.6999999999999993</v>
      </c>
      <c r="X42" s="101">
        <f>HLOOKUP("Gulf Coast (Onshore)",'[2]Deloitte Forecast Input Esc'!$2:$53,2+'[2]Deloitte Forecast Input Esc'!$A23,FALSE)</f>
        <v>5.85</v>
      </c>
      <c r="Y42" s="101">
        <f>HLOOKUP("Louisiana East Texas",'[2]Deloitte Forecast Input Esc'!$2:$53,2+'[2]Deloitte Forecast Input Esc'!$A23,FALSE)</f>
        <v>5.85</v>
      </c>
      <c r="Z42" s="101">
        <f>HLOOKUP("Rocky Mountain Opal",'[2]Deloitte Forecast Input Esc'!$2:$53,2+'[2]Deloitte Forecast Input Esc'!$A23,FALSE)</f>
        <v>5.6000000000000005</v>
      </c>
      <c r="AA42" s="102">
        <f>HLOOKUP("UK National Balancing Point",'[2]Deloitte Forecast Input Esc'!$2:$53,2+'[2]Deloitte Forecast Input Esc'!$A23,FALSE)</f>
        <v>8.9</v>
      </c>
      <c r="AB42" s="102">
        <f>HLOOKUP("Ethanol CBOT",'[2]Deloitte Forecast Input Esc'!$2:$53,2+'[2]Deloitte Forecast Input Esc'!$A23,FALSE)</f>
        <v>2.2000000000000002</v>
      </c>
    </row>
    <row r="43" spans="1:28" x14ac:dyDescent="0.2">
      <c r="A43" s="27"/>
      <c r="B43" s="30" t="str">
        <f>B42&amp;"+"</f>
        <v>2036+</v>
      </c>
      <c r="C43" s="95">
        <f>HLOOKUP("British Pound",'[2]Deloitte Forecast Input Esc'!$2:$53,2+'[2]Deloitte Forecast Input Esc'!$A24,FALSE)</f>
        <v>1.25</v>
      </c>
      <c r="D43" s="59">
        <f>HLOOKUP("Euro",'[2]Deloitte Forecast Input Esc'!$2:$53,2+'[2]Deloitte Forecast Input Esc'!$A24,FALSE)</f>
        <v>1.05</v>
      </c>
      <c r="E43" s="108">
        <f>'Deloitte Summary Domestic'!$C$28</f>
        <v>0.02</v>
      </c>
      <c r="F43" s="108">
        <f>'Deloitte Summary Domestic'!$C$28</f>
        <v>0.02</v>
      </c>
      <c r="G43" s="108">
        <f>'Deloitte Summary Domestic'!$C$28</f>
        <v>0.02</v>
      </c>
      <c r="H43" s="108">
        <f>'Deloitte Summary Domestic'!$C$28</f>
        <v>0.02</v>
      </c>
      <c r="I43" s="108">
        <f>'Deloitte Summary Domestic'!$C$28</f>
        <v>0.02</v>
      </c>
      <c r="J43" s="108">
        <f>'Deloitte Summary Domestic'!$C$28</f>
        <v>0.02</v>
      </c>
      <c r="K43" s="108">
        <f>'Deloitte Summary Domestic'!$C$28</f>
        <v>0.02</v>
      </c>
      <c r="L43" s="108">
        <f>'Deloitte Summary Domestic'!$C$28</f>
        <v>0.02</v>
      </c>
      <c r="M43" s="108">
        <f>'Deloitte Summary Domestic'!$C$28</f>
        <v>0.02</v>
      </c>
      <c r="N43" s="108">
        <f>'Deloitte Summary Domestic'!$C$28</f>
        <v>0.02</v>
      </c>
      <c r="O43" s="108">
        <f>'Deloitte Summary Domestic'!$C$28</f>
        <v>0.02</v>
      </c>
      <c r="P43" s="108">
        <f>'Deloitte Summary Domestic'!$C$28</f>
        <v>0.02</v>
      </c>
      <c r="Q43" s="108">
        <f>'Deloitte Summary Domestic'!$C$28</f>
        <v>0.02</v>
      </c>
      <c r="R43" s="108">
        <f>'Deloitte Summary Domestic'!$C$28</f>
        <v>0.02</v>
      </c>
      <c r="S43" s="108">
        <f>'Deloitte Summary Domestic'!$C$28</f>
        <v>0.02</v>
      </c>
      <c r="T43" s="109">
        <f>'Deloitte Summary Domestic'!$C$28</f>
        <v>0.02</v>
      </c>
      <c r="U43" s="108">
        <f>'Deloitte Summary Domestic'!$C$28</f>
        <v>0.02</v>
      </c>
      <c r="V43" s="108">
        <f>'Deloitte Summary Domestic'!$C$28</f>
        <v>0.02</v>
      </c>
      <c r="W43" s="108">
        <f>'Deloitte Summary Domestic'!$C$28</f>
        <v>0.02</v>
      </c>
      <c r="X43" s="108">
        <f>'Deloitte Summary Domestic'!$C$28</f>
        <v>0.02</v>
      </c>
      <c r="Y43" s="108">
        <f>'Deloitte Summary Domestic'!$C$28</f>
        <v>0.02</v>
      </c>
      <c r="Z43" s="108">
        <f>'Deloitte Summary Domestic'!$C$28</f>
        <v>0.02</v>
      </c>
      <c r="AA43" s="109">
        <f>'Deloitte Summary Domestic'!$C$28</f>
        <v>0.02</v>
      </c>
      <c r="AB43" s="109">
        <f>'Deloitte Summary Domestic'!$C$28</f>
        <v>0.02</v>
      </c>
    </row>
    <row r="44" spans="1:28" x14ac:dyDescent="0.2">
      <c r="B44" s="16"/>
    </row>
    <row r="45" spans="1:28" x14ac:dyDescent="0.2">
      <c r="B45" s="110" t="s">
        <v>64</v>
      </c>
      <c r="C45" s="111" t="str">
        <f>'[2]Front Page'!C26</f>
        <v>Venezuelan Merey replaced BCF-17 in the OPEC basket March 1, 2009.</v>
      </c>
      <c r="D45" s="31"/>
    </row>
    <row r="46" spans="1:28" x14ac:dyDescent="0.2">
      <c r="B46" s="16"/>
    </row>
    <row r="47" spans="1:28" x14ac:dyDescent="0.2">
      <c r="B47" s="16"/>
    </row>
    <row r="48" spans="1:28" x14ac:dyDescent="0.2">
      <c r="B48" s="16"/>
    </row>
    <row r="49" spans="1:23" x14ac:dyDescent="0.2">
      <c r="B49" s="16"/>
    </row>
    <row r="50" spans="1:23" x14ac:dyDescent="0.2">
      <c r="A50" s="15"/>
      <c r="B50" s="121" t="s">
        <v>142</v>
      </c>
      <c r="C50" s="121"/>
      <c r="D50" s="121"/>
      <c r="E50" s="121"/>
      <c r="F50" s="121"/>
      <c r="G50" s="121"/>
      <c r="H50" s="121"/>
      <c r="I50" s="121"/>
      <c r="J50" s="121"/>
      <c r="K50" s="121"/>
      <c r="L50" s="121"/>
      <c r="M50" s="121"/>
      <c r="N50" s="121"/>
      <c r="O50" s="121"/>
      <c r="P50" s="121"/>
      <c r="Q50" s="121"/>
      <c r="R50" s="121"/>
      <c r="V50" s="53"/>
      <c r="W50" s="53"/>
    </row>
    <row r="51" spans="1:23" x14ac:dyDescent="0.2">
      <c r="A51" s="11"/>
      <c r="B51" s="121"/>
      <c r="C51" s="121"/>
      <c r="D51" s="121"/>
      <c r="E51" s="121"/>
      <c r="F51" s="121"/>
      <c r="G51" s="121"/>
      <c r="H51" s="121"/>
      <c r="I51" s="121"/>
      <c r="J51" s="121"/>
      <c r="K51" s="121"/>
      <c r="L51" s="121"/>
      <c r="M51" s="121"/>
      <c r="N51" s="121"/>
      <c r="O51" s="121"/>
      <c r="P51" s="121"/>
      <c r="Q51" s="121"/>
      <c r="R51" s="121"/>
      <c r="V51" s="53"/>
      <c r="W51" s="53"/>
    </row>
    <row r="52" spans="1:23" x14ac:dyDescent="0.2">
      <c r="A52" s="11"/>
      <c r="B52" s="121"/>
      <c r="C52" s="121"/>
      <c r="D52" s="121"/>
      <c r="E52" s="121"/>
      <c r="F52" s="121"/>
      <c r="G52" s="121"/>
      <c r="H52" s="121"/>
      <c r="I52" s="121"/>
      <c r="J52" s="121"/>
      <c r="K52" s="121"/>
      <c r="L52" s="121"/>
      <c r="M52" s="121"/>
      <c r="N52" s="121"/>
      <c r="O52" s="121"/>
      <c r="P52" s="121"/>
      <c r="Q52" s="121"/>
      <c r="R52" s="121"/>
      <c r="V52" s="53"/>
      <c r="W52" s="53"/>
    </row>
    <row r="53" spans="1:23" x14ac:dyDescent="0.2">
      <c r="A53" s="11"/>
      <c r="B53" s="121"/>
      <c r="C53" s="121"/>
      <c r="D53" s="121"/>
      <c r="E53" s="121"/>
      <c r="F53" s="121"/>
      <c r="G53" s="121"/>
      <c r="H53" s="121"/>
      <c r="I53" s="121"/>
      <c r="J53" s="121"/>
      <c r="K53" s="121"/>
      <c r="L53" s="121"/>
      <c r="M53" s="121"/>
      <c r="N53" s="121"/>
      <c r="O53" s="121"/>
      <c r="P53" s="121"/>
      <c r="Q53" s="121"/>
      <c r="R53" s="121"/>
      <c r="V53" s="53"/>
      <c r="W53" s="53"/>
    </row>
    <row r="54" spans="1:23" x14ac:dyDescent="0.2">
      <c r="A54" s="12"/>
      <c r="B54" s="16"/>
      <c r="C54" s="31"/>
      <c r="D54" s="31"/>
      <c r="E54" s="37"/>
      <c r="F54" s="37"/>
      <c r="G54" s="37"/>
      <c r="H54" s="37"/>
      <c r="I54" s="37"/>
      <c r="J54" s="37"/>
      <c r="K54" s="37"/>
      <c r="L54" s="37"/>
      <c r="M54" s="112"/>
      <c r="N54" s="112"/>
      <c r="V54" s="53"/>
      <c r="W54" s="53"/>
    </row>
  </sheetData>
  <mergeCells count="7">
    <mergeCell ref="B50:R53"/>
    <mergeCell ref="A1:AB1"/>
    <mergeCell ref="A2:AB2"/>
    <mergeCell ref="A3:AB3"/>
    <mergeCell ref="A4:AB4"/>
    <mergeCell ref="E6:T6"/>
    <mergeCell ref="U6:AA6"/>
  </mergeCells>
  <pageMargins left="0.7" right="0.7" top="0.75" bottom="0.75" header="0.3" footer="0.3"/>
  <pageSetup scale="77" fitToWidth="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Deloitte Summary Domestic</vt:lpstr>
      <vt:lpstr>Deloitte Summary Add. Crudes</vt:lpstr>
      <vt:lpstr>Deloitte Summary International</vt:lpstr>
      <vt:lpstr>Deloitte International Esc</vt:lpstr>
      <vt:lpstr>'Deloitte International Esc'!Print_Area</vt:lpstr>
    </vt:vector>
  </TitlesOfParts>
  <Company>Deloitte.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Listoe, Jonathan (CA - Alberta)</dc:creator>
  <cp:lastModifiedBy>Listoe, Jonathan (CA - Alberta)</cp:lastModifiedBy>
  <dcterms:created xsi:type="dcterms:W3CDTF">2016-12-22T15:19:46Z</dcterms:created>
  <dcterms:modified xsi:type="dcterms:W3CDTF">2016-12-22T15:40:51Z</dcterms:modified>
</cp:coreProperties>
</file>